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B75D4382-45F0-4FD2-9A52-5B52BC759D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G " sheetId="1" r:id="rId1"/>
  </sheets>
  <definedNames>
    <definedName name="Data" comment="28/09/2022">'DG '!$C$87</definedName>
    <definedName name="_xlnm.Print_Area" localSheetId="0">'DG '!$A$2:$E$95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2" i="1" l="1"/>
  <c r="K41" i="1"/>
  <c r="K40" i="1"/>
  <c r="J39" i="1"/>
  <c r="J38" i="1"/>
  <c r="D13" i="1"/>
  <c r="E13" i="1" s="1"/>
  <c r="D82" i="1"/>
  <c r="C40" i="1"/>
  <c r="C43" i="1"/>
  <c r="C46" i="1"/>
  <c r="C74" i="1"/>
  <c r="C62" i="1" s="1"/>
  <c r="C82" i="1"/>
  <c r="C72" i="1"/>
  <c r="C57" i="1"/>
  <c r="D54" i="1"/>
  <c r="E54" i="1" s="1"/>
  <c r="D53" i="1"/>
  <c r="E53" i="1" s="1"/>
  <c r="E52" i="1" s="1"/>
  <c r="D51" i="1"/>
  <c r="E51" i="1" s="1"/>
  <c r="D50" i="1"/>
  <c r="D49" i="1" s="1"/>
  <c r="E50" i="1"/>
  <c r="D48" i="1"/>
  <c r="D47" i="1"/>
  <c r="E47" i="1" s="1"/>
  <c r="D45" i="1"/>
  <c r="D44" i="1"/>
  <c r="D43" i="1" s="1"/>
  <c r="D42" i="1"/>
  <c r="E42" i="1" s="1"/>
  <c r="D41" i="1"/>
  <c r="E41" i="1" s="1"/>
  <c r="C52" i="1"/>
  <c r="C49" i="1"/>
  <c r="C19" i="1"/>
  <c r="C16" i="1"/>
  <c r="C35" i="1"/>
  <c r="D30" i="1"/>
  <c r="E30" i="1" s="1"/>
  <c r="D12" i="1"/>
  <c r="D14" i="1"/>
  <c r="E14" i="1" s="1"/>
  <c r="D15" i="1"/>
  <c r="E15" i="1" s="1"/>
  <c r="E12" i="1"/>
  <c r="D71" i="1"/>
  <c r="E71" i="1" s="1"/>
  <c r="D60" i="1"/>
  <c r="D59" i="1"/>
  <c r="E59" i="1" s="1"/>
  <c r="D58" i="1"/>
  <c r="D34" i="1"/>
  <c r="E34" i="1" s="1"/>
  <c r="D33" i="1"/>
  <c r="E33" i="1"/>
  <c r="D32" i="1"/>
  <c r="E32" i="1" s="1"/>
  <c r="D31" i="1"/>
  <c r="E31" i="1" s="1"/>
  <c r="D24" i="1"/>
  <c r="E24" i="1" s="1"/>
  <c r="D23" i="1"/>
  <c r="E23" i="1"/>
  <c r="D22" i="1"/>
  <c r="E22" i="1" s="1"/>
  <c r="D21" i="1"/>
  <c r="E21" i="1" s="1"/>
  <c r="D18" i="1"/>
  <c r="E18" i="1"/>
  <c r="E19" i="1" s="1"/>
  <c r="E70" i="1"/>
  <c r="D70" i="1"/>
  <c r="D72" i="1"/>
  <c r="A54" i="1"/>
  <c r="A53" i="1"/>
  <c r="A51" i="1"/>
  <c r="A50" i="1"/>
  <c r="A48" i="1"/>
  <c r="A47" i="1"/>
  <c r="A42" i="1"/>
  <c r="A41" i="1"/>
  <c r="A39" i="1"/>
  <c r="A38" i="1"/>
  <c r="A45" i="1"/>
  <c r="A44" i="1"/>
  <c r="D29" i="1"/>
  <c r="E29" i="1" s="1"/>
  <c r="D28" i="1"/>
  <c r="E28" i="1" s="1"/>
  <c r="D27" i="1"/>
  <c r="E27" i="1" s="1"/>
  <c r="C25" i="1"/>
  <c r="D26" i="1"/>
  <c r="E26" i="1" s="1"/>
  <c r="D19" i="1"/>
  <c r="E61" i="1"/>
  <c r="E45" i="1"/>
  <c r="D46" i="1"/>
  <c r="E48" i="1"/>
  <c r="D40" i="1"/>
  <c r="D39" i="1"/>
  <c r="D38" i="1"/>
  <c r="E38" i="1" s="1"/>
  <c r="C37" i="1"/>
  <c r="C55" i="1"/>
  <c r="C66" i="1" s="1"/>
  <c r="E49" i="1" l="1"/>
  <c r="E46" i="1"/>
  <c r="D52" i="1"/>
  <c r="E44" i="1"/>
  <c r="E43" i="1" s="1"/>
  <c r="E72" i="1"/>
  <c r="C65" i="1"/>
  <c r="D66" i="1"/>
  <c r="E66" i="1" s="1"/>
  <c r="C64" i="1"/>
  <c r="C63" i="1"/>
  <c r="E62" i="1"/>
  <c r="D57" i="1"/>
  <c r="D37" i="1"/>
  <c r="E40" i="1"/>
  <c r="E58" i="1"/>
  <c r="E39" i="1"/>
  <c r="D55" i="1"/>
  <c r="E25" i="1"/>
  <c r="D25" i="1"/>
  <c r="E35" i="1"/>
  <c r="D35" i="1"/>
  <c r="D74" i="1"/>
  <c r="D16" i="1"/>
  <c r="E16" i="1"/>
  <c r="E74" i="1"/>
  <c r="E63" i="1" l="1"/>
  <c r="E64" i="1"/>
  <c r="C60" i="1"/>
  <c r="E65" i="1"/>
  <c r="C67" i="1"/>
  <c r="C73" i="1" s="1"/>
  <c r="E57" i="1"/>
  <c r="E55" i="1"/>
  <c r="E37" i="1"/>
  <c r="C78" i="1"/>
  <c r="D67" i="1" l="1"/>
  <c r="D83" i="1"/>
  <c r="C83" i="1"/>
  <c r="E60" i="1"/>
  <c r="C68" i="1"/>
  <c r="C85" i="1" l="1"/>
  <c r="C84" i="1"/>
  <c r="D84" i="1"/>
  <c r="D85" i="1"/>
  <c r="E67" i="1"/>
  <c r="D73" i="1"/>
  <c r="D68" i="1"/>
  <c r="E73" i="1" l="1"/>
  <c r="E68" i="1"/>
  <c r="C79" i="1"/>
  <c r="C77" i="1" s="1"/>
</calcChain>
</file>

<file path=xl/sharedStrings.xml><?xml version="1.0" encoding="utf-8"?>
<sst xmlns="http://schemas.openxmlformats.org/spreadsheetml/2006/main" count="262" uniqueCount="129">
  <si>
    <t>Nr. 
crt.</t>
  </si>
  <si>
    <t>Denumirea capitolelor şi a subcapitolelor
de cheltuieli</t>
  </si>
  <si>
    <t>LEI</t>
  </si>
  <si>
    <t>1.1</t>
  </si>
  <si>
    <t>1.2</t>
  </si>
  <si>
    <t>1.3</t>
  </si>
  <si>
    <t>3.1</t>
  </si>
  <si>
    <t>3.2</t>
  </si>
  <si>
    <t>3.3</t>
  </si>
  <si>
    <t>3.4</t>
  </si>
  <si>
    <t>3.5</t>
  </si>
  <si>
    <t xml:space="preserve">Consultanţă </t>
  </si>
  <si>
    <t>3.6</t>
  </si>
  <si>
    <t>Asistenţă tehnică</t>
  </si>
  <si>
    <t>4.1</t>
  </si>
  <si>
    <t>4.2</t>
  </si>
  <si>
    <t>4.3</t>
  </si>
  <si>
    <t>4.4</t>
  </si>
  <si>
    <t>4.5</t>
  </si>
  <si>
    <t>Capitolul 5
Alte cheltuieli</t>
  </si>
  <si>
    <t>5.1</t>
  </si>
  <si>
    <t>5.2</t>
  </si>
  <si>
    <t>5.3</t>
  </si>
  <si>
    <t>6.1</t>
  </si>
  <si>
    <t>6.2</t>
  </si>
  <si>
    <t>Beneficiar:</t>
  </si>
  <si>
    <t>4.6</t>
  </si>
  <si>
    <t>Active necorporale</t>
  </si>
  <si>
    <t>Valoare ( inclusiv T.V.A. )</t>
  </si>
  <si>
    <t>buget local</t>
  </si>
  <si>
    <t>buget de stat</t>
  </si>
  <si>
    <t>Cheltuieli diverse şi neprevăzute</t>
  </si>
  <si>
    <t>TOTAL GENERAL</t>
  </si>
  <si>
    <t>Proiectant:</t>
  </si>
  <si>
    <t>5.1.1</t>
  </si>
  <si>
    <t xml:space="preserve">TOTAL CAPITOL 4      </t>
  </si>
  <si>
    <t xml:space="preserve">TOTAL CAPITOL 3     </t>
  </si>
  <si>
    <t xml:space="preserve">TOTAL CAPITOL 5      </t>
  </si>
  <si>
    <t xml:space="preserve">TOTAL CAPITOL 6      </t>
  </si>
  <si>
    <t xml:space="preserve">TOTAL CAPITOL 1     </t>
  </si>
  <si>
    <t xml:space="preserve">TOTAL CAPITOL 2     </t>
  </si>
  <si>
    <t>Capitolul 1
Cheltuieli pentru obţinerea şi amenajarea terenului</t>
  </si>
  <si>
    <t>Amenajări pentru protecţia mediului și aducerea la starea inițială</t>
  </si>
  <si>
    <t>Capitolul 2
Cheltuieli pentru asigurarea utilităţilor necesare obiectivului</t>
  </si>
  <si>
    <t>Capitolul 3
Cheltuieli pentru proiectare şi asistenţă tehnică</t>
  </si>
  <si>
    <t>Organizarea procedurilor de achiziţie</t>
  </si>
  <si>
    <t>Capitolul 4
Cheltuieli pentru investiţia de bază</t>
  </si>
  <si>
    <t>Dotări</t>
  </si>
  <si>
    <t>5.1.2</t>
  </si>
  <si>
    <t>Comisioane, taxe, cote, costul creditului</t>
  </si>
  <si>
    <t>Probe tehnologice și teste</t>
  </si>
  <si>
    <t>Defalcarea pe surse de finanțare</t>
  </si>
  <si>
    <t>1.4</t>
  </si>
  <si>
    <t>Cheltuieli pentru relocarea/protecția utilităților</t>
  </si>
  <si>
    <t>Cheltuieli pentru asigurarea utilităţilor necesare obiectivului</t>
  </si>
  <si>
    <t>Studii</t>
  </si>
  <si>
    <t>Documentații-suport și cheltuieli pentru obținerea de avize, acorduri și autorizații</t>
  </si>
  <si>
    <t xml:space="preserve">Expertizare tehnică </t>
  </si>
  <si>
    <t>Certificarea performanței energetice și auditul energetic al clădirilor</t>
  </si>
  <si>
    <t xml:space="preserve">Proiectare </t>
  </si>
  <si>
    <t>3.5.1</t>
  </si>
  <si>
    <t xml:space="preserve">Temă de proiectare </t>
  </si>
  <si>
    <t>3.5.2</t>
  </si>
  <si>
    <t>Studiu de prefezabilitate</t>
  </si>
  <si>
    <t>3.5.3</t>
  </si>
  <si>
    <t>Studiu de fezabilitate/documentație de avizare a lucrărilor de intervenții și deviz general</t>
  </si>
  <si>
    <t>3.5.4</t>
  </si>
  <si>
    <t>Documentațiile tehnice necesare în vederea obținerii avizelor/acordurilor/autorizațiilor</t>
  </si>
  <si>
    <t>3.5.5</t>
  </si>
  <si>
    <t>3.5.6</t>
  </si>
  <si>
    <t>Proiect tehnic și detalii de execuție</t>
  </si>
  <si>
    <t>3.7</t>
  </si>
  <si>
    <t>3.8</t>
  </si>
  <si>
    <t>Montaj utilaje, echipamente tehnologice și funcționale</t>
  </si>
  <si>
    <t>Utilaje, echipamente tehnologice şi funcţionale care necesită montaj</t>
  </si>
  <si>
    <t>Utilaje, echipamente tehnologice și funcționale care nu necesită montaj și echipamente de transport</t>
  </si>
  <si>
    <t>Lucrări de construcţii și instalații aferente organizării de șantier</t>
  </si>
  <si>
    <t>Cheltuieli conexe organizării șantierului</t>
  </si>
  <si>
    <t>5.2.1</t>
  </si>
  <si>
    <t>Comisioanele și dobânzile aferente creditului băncii finanțatoare</t>
  </si>
  <si>
    <t>5.2.2</t>
  </si>
  <si>
    <t>Cota aferentă ISC pentru controlul calității lucrărilor de construcții</t>
  </si>
  <si>
    <t>5.2.3</t>
  </si>
  <si>
    <t>Cota aferentă ISC pentru controlul statului în amenajarea teritoriului, urbanism și pentru autorizarea lucrărilor de construcții</t>
  </si>
  <si>
    <t>5.2.4</t>
  </si>
  <si>
    <t>Cota aferentă Casei Sociale a Constructorilor - CSC</t>
  </si>
  <si>
    <t>5.2.5</t>
  </si>
  <si>
    <t>Taxe pentru acorduri, avize conforme și autorizația de construire/desființare</t>
  </si>
  <si>
    <t>5.4</t>
  </si>
  <si>
    <t>Cheltuieli pentru informare și publicitate</t>
  </si>
  <si>
    <t xml:space="preserve">Organizare de şantier </t>
  </si>
  <si>
    <t>Capitolul 6
Cheltuieli pentru probe tehnologice și teste</t>
  </si>
  <si>
    <t>Pregătirea personalului de exploatare</t>
  </si>
  <si>
    <t>Din care C + M (1.2+1.3+1.4+2+4.1+4.2+5.1.1)</t>
  </si>
  <si>
    <t>Amenajarea terenului</t>
  </si>
  <si>
    <t>Obţinerea terenului</t>
  </si>
  <si>
    <t>Valoare 
(fără T.V.A. )</t>
  </si>
  <si>
    <t>TVA</t>
  </si>
  <si>
    <t>Valoare cu TVA</t>
  </si>
  <si>
    <t>TOTAL GENERAL (cu TVA) din care:</t>
  </si>
  <si>
    <t>Defalcarea pe standard de cost</t>
  </si>
  <si>
    <t>nu</t>
  </si>
  <si>
    <t>Construcţii şi instalaţii</t>
  </si>
  <si>
    <t>Pentru care exista standard de cost</t>
  </si>
  <si>
    <t>Pentru care nu exista standard de cost</t>
  </si>
  <si>
    <t>Verificarea tehnică de calitate a D.T.A.C., proiectului tehnic și a detaliilor de execuție</t>
  </si>
  <si>
    <t>da</t>
  </si>
  <si>
    <t>Data</t>
  </si>
  <si>
    <t>Curs Euro</t>
  </si>
  <si>
    <t>Cu standard de cost</t>
  </si>
  <si>
    <t>Fara standard de cost</t>
  </si>
  <si>
    <t>Valoare CAP. 4</t>
  </si>
  <si>
    <t>Valoare investitie</t>
  </si>
  <si>
    <t>C+M</t>
  </si>
  <si>
    <t>Cost unitar aferent investiției (EURO)</t>
  </si>
  <si>
    <t>Preturi fără TVA</t>
  </si>
  <si>
    <t xml:space="preserve">Cost unitar aferent investiției </t>
  </si>
  <si>
    <r>
      <t xml:space="preserve">Se completeaza </t>
    </r>
    <r>
      <rPr>
        <b/>
        <sz val="12"/>
        <color indexed="10"/>
        <rFont val="Times New Roman"/>
        <family val="1"/>
      </rPr>
      <t>doar</t>
    </r>
    <r>
      <rPr>
        <b/>
        <sz val="12"/>
        <color indexed="8"/>
        <rFont val="Times New Roman"/>
        <family val="1"/>
      </rPr>
      <t xml:space="preserve"> campurile </t>
    </r>
    <r>
      <rPr>
        <b/>
        <sz val="12"/>
        <color indexed="31"/>
        <rFont val="Times New Roman"/>
        <family val="1"/>
      </rPr>
      <t>albastre</t>
    </r>
  </si>
  <si>
    <t xml:space="preserve">Valoare de referință pentru determinarea încadrării în standardul de cost (locuitori beneficiari/ locuitori echivalenți beneficiari/ km) </t>
  </si>
  <si>
    <t>Zona de mai jos nu se listeaza</t>
  </si>
  <si>
    <t>SC TOTAL CONSTRUCT SRL</t>
  </si>
  <si>
    <t>Ing. Ionica Todoran</t>
  </si>
  <si>
    <t>DEVIZ  GENERAL 
POD PE DJ 197, KM 4+500, PESTE RÎUL TALNA, ÎN LOCALITATEA PĂȘUNEA MARE, JUDEȚUL SATU MARE</t>
  </si>
  <si>
    <t>28/09/2022</t>
  </si>
  <si>
    <t>JUDETUL SATU MARE</t>
  </si>
  <si>
    <t>Presedinte</t>
  </si>
  <si>
    <t>PATAKI Csaba</t>
  </si>
  <si>
    <t>Notă: Județul Satu Mare se angajează să finanțeze suma de 2.102.585,10 lei inclusiv TVA, reprezentând diferența dintre valoarea finanțabilă de la bugetul de stat rezultată ca urmare a actualizării devizului general (3.260.813,73 lei) și suma alocată de la bugetul de stat (1.393.714,94 lei)în cuantum de 1.867.098,79 lei, pentru perioada 2022 - 2028 conform listei obiectivelor de investiții finanțate prin Programul Național de Investiții ”Anghel Saligny” la care se adaugă suma prevăzută la bugetul locaL 235.486,31 lei.</t>
  </si>
  <si>
    <t>Anexa la Proiectul de Hotarare nr. 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</si>
</sst>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m/yyyy"/>
    <numFmt numFmtId="165" formatCode="#,##0.0000"/>
  </numFmts>
  <fonts count="22" x14ac:knownFonts="1">
    <font>
      <sz val="10"/>
      <name val="Arial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10"/>
      <name val="Times New Roman"/>
      <family val="1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31"/>
      <name val="Times New Roman"/>
      <family val="1"/>
    </font>
    <font>
      <sz val="10"/>
      <name val="Arial"/>
      <family val="2"/>
    </font>
    <font>
      <b/>
      <sz val="12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43">
    <xf numFmtId="0" fontId="0" fillId="0" borderId="0" xfId="0"/>
    <xf numFmtId="0" fontId="1" fillId="0" borderId="0" xfId="0" applyFont="1"/>
    <xf numFmtId="3" fontId="4" fillId="0" borderId="0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5" fillId="0" borderId="0" xfId="0" applyNumberFormat="1" applyFont="1" applyBorder="1" applyAlignment="1" applyProtection="1">
      <alignment horizontal="left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Continuous" vertic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vertical="center"/>
      <protection hidden="1"/>
    </xf>
    <xf numFmtId="0" fontId="1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vertical="center" wrapText="1"/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vertical="center" wrapText="1"/>
      <protection hidden="1"/>
    </xf>
    <xf numFmtId="0" fontId="1" fillId="2" borderId="0" xfId="0" applyFont="1" applyFill="1"/>
    <xf numFmtId="0" fontId="7" fillId="0" borderId="0" xfId="0" applyFont="1"/>
    <xf numFmtId="0" fontId="8" fillId="0" borderId="1" xfId="0" applyFont="1" applyFill="1" applyBorder="1" applyAlignment="1" applyProtection="1">
      <alignment vertical="center" wrapText="1"/>
      <protection hidden="1"/>
    </xf>
    <xf numFmtId="0" fontId="1" fillId="0" borderId="0" xfId="0" applyFont="1" applyFill="1"/>
    <xf numFmtId="0" fontId="6" fillId="0" borderId="1" xfId="0" applyFont="1" applyFill="1" applyBorder="1" applyAlignment="1" applyProtection="1">
      <alignment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/>
    <xf numFmtId="0" fontId="7" fillId="0" borderId="0" xfId="0" applyFont="1" applyFill="1"/>
    <xf numFmtId="0" fontId="1" fillId="0" borderId="0" xfId="0" applyFont="1" applyFill="1" applyAlignment="1"/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vertical="center" wrapText="1"/>
      <protection hidden="1"/>
    </xf>
    <xf numFmtId="165" fontId="5" fillId="0" borderId="0" xfId="0" applyNumberFormat="1" applyFont="1" applyBorder="1" applyAlignment="1" applyProtection="1">
      <alignment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Font="1" applyFill="1" applyBorder="1" applyAlignment="1" applyProtection="1">
      <alignment horizontal="center" vertical="center"/>
      <protection hidden="1"/>
    </xf>
    <xf numFmtId="49" fontId="6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 applyProtection="1">
      <alignment vertical="center"/>
      <protection hidden="1"/>
    </xf>
    <xf numFmtId="49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5" xfId="0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left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49" fontId="6" fillId="0" borderId="8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vertical="center" wrapText="1"/>
      <protection hidden="1"/>
    </xf>
    <xf numFmtId="0" fontId="9" fillId="0" borderId="5" xfId="0" applyFont="1" applyFill="1" applyBorder="1" applyAlignment="1" applyProtection="1">
      <alignment vertical="center"/>
      <protection hidden="1"/>
    </xf>
    <xf numFmtId="0" fontId="10" fillId="0" borderId="6" xfId="0" applyFont="1" applyFill="1" applyBorder="1" applyAlignment="1" applyProtection="1">
      <alignment horizontal="right" vertical="center"/>
      <protection hidden="1"/>
    </xf>
    <xf numFmtId="0" fontId="6" fillId="0" borderId="9" xfId="0" applyFont="1" applyFill="1" applyBorder="1" applyAlignment="1" applyProtection="1">
      <alignment horizontal="center" vertical="center"/>
      <protection hidden="1"/>
    </xf>
    <xf numFmtId="0" fontId="6" fillId="0" borderId="10" xfId="0" applyFont="1" applyFill="1" applyBorder="1" applyAlignment="1" applyProtection="1">
      <alignment vertical="center"/>
      <protection hidden="1"/>
    </xf>
    <xf numFmtId="0" fontId="4" fillId="0" borderId="6" xfId="0" applyFont="1" applyFill="1" applyBorder="1" applyAlignment="1" applyProtection="1">
      <alignment horizontal="right" vertical="center"/>
      <protection hidden="1"/>
    </xf>
    <xf numFmtId="49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vertical="center"/>
      <protection hidden="1"/>
    </xf>
    <xf numFmtId="0" fontId="11" fillId="0" borderId="1" xfId="0" applyFont="1" applyFill="1" applyBorder="1" applyAlignment="1" applyProtection="1">
      <alignment vertical="center" wrapText="1"/>
      <protection hidden="1"/>
    </xf>
    <xf numFmtId="0" fontId="6" fillId="0" borderId="10" xfId="0" applyFont="1" applyFill="1" applyBorder="1" applyAlignment="1" applyProtection="1">
      <alignment vertical="center" wrapText="1"/>
      <protection hidden="1"/>
    </xf>
    <xf numFmtId="4" fontId="3" fillId="3" borderId="10" xfId="0" applyNumberFormat="1" applyFont="1" applyFill="1" applyBorder="1" applyAlignment="1" applyProtection="1">
      <alignment horizontal="right" vertical="center"/>
      <protection hidden="1"/>
    </xf>
    <xf numFmtId="4" fontId="1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 applyProtection="1">
      <alignment horizontal="right" vertical="center"/>
      <protection hidden="1"/>
    </xf>
    <xf numFmtId="4" fontId="10" fillId="4" borderId="6" xfId="0" applyNumberFormat="1" applyFont="1" applyFill="1" applyBorder="1" applyAlignment="1" applyProtection="1">
      <alignment horizontal="right" vertical="center"/>
      <protection hidden="1"/>
    </xf>
    <xf numFmtId="4" fontId="1" fillId="4" borderId="10" xfId="0" applyNumberFormat="1" applyFont="1" applyFill="1" applyBorder="1" applyAlignment="1" applyProtection="1">
      <alignment vertical="center"/>
      <protection hidden="1"/>
    </xf>
    <xf numFmtId="4" fontId="1" fillId="4" borderId="11" xfId="0" applyNumberFormat="1" applyFont="1" applyFill="1" applyBorder="1" applyAlignment="1" applyProtection="1">
      <alignment vertical="center"/>
      <protection hidden="1"/>
    </xf>
    <xf numFmtId="4" fontId="1" fillId="4" borderId="1" xfId="0" applyNumberFormat="1" applyFont="1" applyFill="1" applyBorder="1" applyAlignment="1" applyProtection="1">
      <alignment vertical="center"/>
      <protection hidden="1"/>
    </xf>
    <xf numFmtId="4" fontId="1" fillId="4" borderId="3" xfId="0" applyNumberFormat="1" applyFont="1" applyFill="1" applyBorder="1" applyAlignment="1" applyProtection="1">
      <alignment vertical="center"/>
      <protection hidden="1"/>
    </xf>
    <xf numFmtId="4" fontId="10" fillId="4" borderId="7" xfId="0" applyNumberFormat="1" applyFont="1" applyFill="1" applyBorder="1" applyAlignment="1" applyProtection="1">
      <alignment horizontal="right" vertical="center"/>
      <protection hidden="1"/>
    </xf>
    <xf numFmtId="4" fontId="11" fillId="3" borderId="1" xfId="0" applyNumberFormat="1" applyFont="1" applyFill="1" applyBorder="1" applyAlignment="1" applyProtection="1">
      <alignment horizontal="right" vertical="center"/>
      <protection hidden="1"/>
    </xf>
    <xf numFmtId="4" fontId="3" fillId="3" borderId="2" xfId="0" applyNumberFormat="1" applyFont="1" applyFill="1" applyBorder="1" applyAlignment="1" applyProtection="1">
      <alignment horizontal="right" vertical="center"/>
      <protection hidden="1"/>
    </xf>
    <xf numFmtId="4" fontId="3" fillId="5" borderId="1" xfId="0" applyNumberFormat="1" applyFont="1" applyFill="1" applyBorder="1" applyAlignment="1" applyProtection="1">
      <alignment horizontal="right" vertical="center"/>
      <protection hidden="1"/>
    </xf>
    <xf numFmtId="4" fontId="3" fillId="5" borderId="3" xfId="0" applyNumberFormat="1" applyFont="1" applyFill="1" applyBorder="1" applyAlignment="1" applyProtection="1">
      <alignment horizontal="right" vertical="center"/>
      <protection hidden="1"/>
    </xf>
    <xf numFmtId="4" fontId="3" fillId="5" borderId="10" xfId="0" applyNumberFormat="1" applyFont="1" applyFill="1" applyBorder="1" applyAlignment="1" applyProtection="1">
      <alignment horizontal="right" vertical="center"/>
      <protection hidden="1"/>
    </xf>
    <xf numFmtId="4" fontId="3" fillId="5" borderId="11" xfId="0" applyNumberFormat="1" applyFont="1" applyFill="1" applyBorder="1" applyAlignment="1" applyProtection="1">
      <alignment horizontal="right" vertical="center"/>
      <protection hidden="1"/>
    </xf>
    <xf numFmtId="4" fontId="11" fillId="5" borderId="1" xfId="0" applyNumberFormat="1" applyFont="1" applyFill="1" applyBorder="1" applyAlignment="1" applyProtection="1">
      <alignment horizontal="right" vertical="center"/>
      <protection hidden="1"/>
    </xf>
    <xf numFmtId="4" fontId="11" fillId="5" borderId="3" xfId="0" applyNumberFormat="1" applyFont="1" applyFill="1" applyBorder="1" applyAlignment="1" applyProtection="1">
      <alignment horizontal="right" vertical="center"/>
      <protection hidden="1"/>
    </xf>
    <xf numFmtId="4" fontId="12" fillId="5" borderId="1" xfId="0" applyNumberFormat="1" applyFont="1" applyFill="1" applyBorder="1" applyAlignment="1" applyProtection="1">
      <alignment vertical="center"/>
      <protection hidden="1"/>
    </xf>
    <xf numFmtId="4" fontId="12" fillId="5" borderId="3" xfId="0" applyNumberFormat="1" applyFont="1" applyFill="1" applyBorder="1" applyAlignment="1" applyProtection="1">
      <alignment vertical="center"/>
      <protection hidden="1"/>
    </xf>
    <xf numFmtId="4" fontId="3" fillId="5" borderId="2" xfId="0" applyNumberFormat="1" applyFont="1" applyFill="1" applyBorder="1" applyAlignment="1" applyProtection="1">
      <alignment horizontal="right" vertical="center"/>
      <protection hidden="1"/>
    </xf>
    <xf numFmtId="4" fontId="3" fillId="5" borderId="12" xfId="0" applyNumberFormat="1" applyFont="1" applyFill="1" applyBorder="1" applyAlignment="1" applyProtection="1">
      <alignment horizontal="right" vertical="center"/>
      <protection hidden="1"/>
    </xf>
    <xf numFmtId="4" fontId="10" fillId="5" borderId="6" xfId="0" applyNumberFormat="1" applyFont="1" applyFill="1" applyBorder="1" applyAlignment="1" applyProtection="1">
      <alignment horizontal="right" vertical="center"/>
      <protection hidden="1"/>
    </xf>
    <xf numFmtId="4" fontId="10" fillId="5" borderId="7" xfId="0" applyNumberFormat="1" applyFont="1" applyFill="1" applyBorder="1" applyAlignment="1" applyProtection="1">
      <alignment horizontal="right" vertical="center"/>
      <protection hidden="1"/>
    </xf>
    <xf numFmtId="0" fontId="4" fillId="6" borderId="13" xfId="0" applyFont="1" applyFill="1" applyBorder="1" applyAlignment="1" applyProtection="1">
      <alignment vertical="center"/>
      <protection hidden="1"/>
    </xf>
    <xf numFmtId="0" fontId="13" fillId="6" borderId="14" xfId="0" applyFont="1" applyFill="1" applyBorder="1" applyAlignment="1" applyProtection="1">
      <alignment horizontal="left" vertical="center"/>
      <protection hidden="1"/>
    </xf>
    <xf numFmtId="0" fontId="10" fillId="6" borderId="15" xfId="0" applyFont="1" applyFill="1" applyBorder="1" applyAlignment="1" applyProtection="1">
      <alignment vertical="center"/>
      <protection hidden="1"/>
    </xf>
    <xf numFmtId="0" fontId="10" fillId="6" borderId="16" xfId="0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Fill="1" applyBorder="1" applyAlignment="1" applyProtection="1">
      <alignment horizontal="left" vertical="center" wrapText="1"/>
      <protection hidden="1"/>
    </xf>
    <xf numFmtId="4" fontId="13" fillId="4" borderId="1" xfId="0" applyNumberFormat="1" applyFont="1" applyFill="1" applyBorder="1" applyAlignment="1" applyProtection="1">
      <alignment horizontal="right" vertical="center"/>
      <protection hidden="1"/>
    </xf>
    <xf numFmtId="0" fontId="15" fillId="0" borderId="1" xfId="0" applyFont="1" applyFill="1" applyBorder="1" applyAlignment="1">
      <alignment horizontal="right" vertical="center" wrapText="1"/>
    </xf>
    <xf numFmtId="4" fontId="16" fillId="4" borderId="1" xfId="0" applyNumberFormat="1" applyFont="1" applyFill="1" applyBorder="1" applyAlignment="1" applyProtection="1">
      <alignment horizontal="right" vertical="center"/>
      <protection hidden="1"/>
    </xf>
    <xf numFmtId="4" fontId="15" fillId="4" borderId="1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3" fontId="13" fillId="0" borderId="0" xfId="0" applyNumberFormat="1" applyFont="1" applyBorder="1" applyAlignment="1" applyProtection="1">
      <alignment horizontal="right" vertical="center"/>
      <protection hidden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Border="1" applyAlignment="1" applyProtection="1">
      <alignment vertical="center" wrapText="1"/>
      <protection hidden="1"/>
    </xf>
    <xf numFmtId="0" fontId="17" fillId="0" borderId="0" xfId="0" applyFont="1" applyFill="1" applyAlignment="1" applyProtection="1">
      <alignment vertical="center" wrapText="1"/>
      <protection hidden="1"/>
    </xf>
    <xf numFmtId="0" fontId="14" fillId="0" borderId="0" xfId="0" applyFont="1" applyAlignment="1">
      <alignment horizontal="center" vertical="center"/>
    </xf>
    <xf numFmtId="4" fontId="13" fillId="4" borderId="14" xfId="0" applyNumberFormat="1" applyFont="1" applyFill="1" applyBorder="1" applyAlignment="1" applyProtection="1">
      <alignment horizontal="right" vertical="center"/>
      <protection hidden="1"/>
    </xf>
    <xf numFmtId="4" fontId="13" fillId="4" borderId="17" xfId="0" applyNumberFormat="1" applyFont="1" applyFill="1" applyBorder="1" applyAlignment="1" applyProtection="1">
      <alignment horizontal="right" vertical="center"/>
      <protection hidden="1"/>
    </xf>
    <xf numFmtId="0" fontId="15" fillId="3" borderId="1" xfId="0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3" fillId="0" borderId="0" xfId="0" applyFont="1" applyAlignment="1" applyProtection="1">
      <alignment vertical="center" wrapText="1"/>
      <protection hidden="1"/>
    </xf>
    <xf numFmtId="0" fontId="2" fillId="0" borderId="0" xfId="0" applyFont="1" applyAlignment="1">
      <alignment vertical="center"/>
    </xf>
    <xf numFmtId="4" fontId="1" fillId="0" borderId="0" xfId="0" applyNumberFormat="1" applyFont="1" applyFill="1"/>
    <xf numFmtId="0" fontId="17" fillId="0" borderId="1" xfId="0" applyFont="1" applyBorder="1" applyAlignment="1" applyProtection="1">
      <alignment horizontal="left" vertical="center" wrapText="1"/>
      <protection hidden="1"/>
    </xf>
    <xf numFmtId="0" fontId="14" fillId="0" borderId="0" xfId="0" applyFont="1" applyAlignment="1">
      <alignment horizontal="left" vertical="center"/>
    </xf>
    <xf numFmtId="0" fontId="15" fillId="3" borderId="1" xfId="0" applyFont="1" applyFill="1" applyBorder="1" applyAlignment="1">
      <alignment horizontal="right" vertical="center"/>
    </xf>
    <xf numFmtId="0" fontId="13" fillId="0" borderId="0" xfId="0" applyFont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165" fontId="3" fillId="7" borderId="0" xfId="0" applyNumberFormat="1" applyFont="1" applyFill="1" applyAlignment="1" applyProtection="1">
      <alignment horizontal="center" vertical="center" wrapText="1"/>
      <protection hidden="1"/>
    </xf>
    <xf numFmtId="0" fontId="10" fillId="6" borderId="18" xfId="0" applyFont="1" applyFill="1" applyBorder="1" applyAlignment="1" applyProtection="1">
      <alignment horizontal="center" vertical="center" wrapText="1"/>
      <protection hidden="1"/>
    </xf>
    <xf numFmtId="0" fontId="10" fillId="6" borderId="19" xfId="0" applyFont="1" applyFill="1" applyBorder="1" applyAlignment="1" applyProtection="1">
      <alignment horizontal="center" vertical="center" wrapText="1"/>
      <protection hidden="1"/>
    </xf>
    <xf numFmtId="0" fontId="10" fillId="6" borderId="20" xfId="0" applyFont="1" applyFill="1" applyBorder="1" applyAlignment="1" applyProtection="1">
      <alignment horizontal="center" vertical="center" wrapText="1"/>
      <protection hidden="1"/>
    </xf>
    <xf numFmtId="0" fontId="10" fillId="6" borderId="21" xfId="0" applyFont="1" applyFill="1" applyBorder="1" applyAlignment="1" applyProtection="1">
      <alignment horizontal="center" vertical="center" wrapText="1"/>
      <protection hidden="1"/>
    </xf>
    <xf numFmtId="0" fontId="10" fillId="6" borderId="0" xfId="0" applyFont="1" applyFill="1" applyBorder="1" applyAlignment="1" applyProtection="1">
      <alignment horizontal="center" vertical="center" wrapText="1"/>
      <protection hidden="1"/>
    </xf>
    <xf numFmtId="0" fontId="10" fillId="6" borderId="22" xfId="0" applyFont="1" applyFill="1" applyBorder="1" applyAlignment="1" applyProtection="1">
      <alignment horizontal="center" vertical="center" wrapText="1"/>
      <protection hidden="1"/>
    </xf>
    <xf numFmtId="0" fontId="10" fillId="6" borderId="23" xfId="0" applyFont="1" applyFill="1" applyBorder="1" applyAlignment="1" applyProtection="1">
      <alignment horizontal="center" vertical="center" wrapText="1"/>
      <protection hidden="1"/>
    </xf>
    <xf numFmtId="0" fontId="10" fillId="6" borderId="24" xfId="0" applyFont="1" applyFill="1" applyBorder="1" applyAlignment="1" applyProtection="1">
      <alignment horizontal="center" vertical="center" wrapText="1"/>
      <protection hidden="1"/>
    </xf>
    <xf numFmtId="0" fontId="10" fillId="6" borderId="25" xfId="0" applyFont="1" applyFill="1" applyBorder="1" applyAlignment="1" applyProtection="1">
      <alignment horizontal="center" vertical="center" wrapText="1"/>
      <protection hidden="1"/>
    </xf>
    <xf numFmtId="0" fontId="2" fillId="0" borderId="2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1" fillId="0" borderId="0" xfId="1" applyFont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</cellXfs>
  <cellStyles count="2">
    <cellStyle name="Normal" xfId="0" builtinId="0"/>
    <cellStyle name="Normal 31" xfId="1" xr:uid="{2E6232EF-2B1E-4F0A-BC2C-15778823AB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2557097</xdr:colOff>
      <xdr:row>90</xdr:row>
      <xdr:rowOff>131884</xdr:rowOff>
    </xdr:from>
    <xdr:to>
      <xdr:col>2</xdr:col>
      <xdr:colOff>829358</xdr:colOff>
      <xdr:row>96</xdr:row>
      <xdr:rowOff>41773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6954D3-2B37-4C03-93E8-946ECB950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1366" y="21306692"/>
          <a:ext cx="1327588" cy="834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02"/>
  <sheetViews>
    <sheetView tabSelected="1" zoomScale="112" zoomScaleNormal="112" workbookViewId="0">
      <selection activeCell="E2" sqref="E2"/>
    </sheetView>
  </sheetViews>
  <sheetFormatPr defaultRowHeight="12.75" x14ac:dyDescent="0.2"/>
  <cols>
    <col min="1" max="1" width="6.85546875" style="4" customWidth="1"/>
    <col min="2" max="2" width="45.85546875" style="4" customWidth="1"/>
    <col min="3" max="3" width="15.7109375" style="4" bestFit="1" customWidth="1"/>
    <col min="4" max="4" width="16.85546875" style="4" customWidth="1"/>
    <col min="5" max="5" width="16.140625" style="4" customWidth="1"/>
    <col min="6" max="6" width="14.7109375" style="37" customWidth="1"/>
    <col min="7" max="7" width="14.28515625" style="36" customWidth="1"/>
    <col min="8" max="9" width="9.140625" style="22"/>
    <col min="10" max="10" width="11.42578125" style="22" bestFit="1" customWidth="1"/>
    <col min="11" max="11" width="13.7109375" style="22" customWidth="1"/>
    <col min="12" max="12" width="11" style="22" bestFit="1" customWidth="1"/>
    <col min="13" max="36" width="9.140625" style="22"/>
    <col min="37" max="16384" width="9.140625" style="1"/>
  </cols>
  <sheetData>
    <row r="1" spans="1:36" x14ac:dyDescent="0.2">
      <c r="C1" s="133" t="s">
        <v>128</v>
      </c>
      <c r="D1" s="133"/>
      <c r="E1" s="133"/>
    </row>
    <row r="2" spans="1:36" x14ac:dyDescent="0.2">
      <c r="E2" s="111"/>
    </row>
    <row r="3" spans="1:36" ht="64.5" customHeight="1" thickBot="1" x14ac:dyDescent="0.25">
      <c r="A3" s="135" t="s">
        <v>122</v>
      </c>
      <c r="B3" s="136"/>
      <c r="C3" s="136"/>
      <c r="D3" s="136"/>
      <c r="E3" s="136"/>
      <c r="F3" s="28"/>
    </row>
    <row r="4" spans="1:36" ht="12" hidden="1" customHeight="1" thickBot="1" x14ac:dyDescent="0.25">
      <c r="A4" s="142"/>
      <c r="B4" s="142"/>
      <c r="C4" s="142"/>
      <c r="D4" s="142"/>
      <c r="E4" s="142"/>
      <c r="F4" s="28"/>
    </row>
    <row r="5" spans="1:36" ht="19.5" hidden="1" customHeight="1" x14ac:dyDescent="0.2">
      <c r="A5" s="29"/>
      <c r="B5" s="110" t="s">
        <v>117</v>
      </c>
      <c r="C5" s="29"/>
      <c r="D5" s="29"/>
      <c r="E5" s="29"/>
    </row>
    <row r="6" spans="1:36" ht="15" hidden="1" customHeight="1" thickBot="1" x14ac:dyDescent="0.25">
      <c r="A6" s="6"/>
      <c r="B6" s="6"/>
      <c r="C6" s="6"/>
      <c r="D6" s="5"/>
      <c r="E6" s="30"/>
      <c r="F6" s="122" t="s">
        <v>119</v>
      </c>
      <c r="G6" s="122"/>
      <c r="H6" s="122"/>
    </row>
    <row r="7" spans="1:36" ht="25.5" customHeight="1" x14ac:dyDescent="0.2">
      <c r="A7" s="137" t="s">
        <v>0</v>
      </c>
      <c r="B7" s="139" t="s">
        <v>1</v>
      </c>
      <c r="C7" s="139" t="s">
        <v>28</v>
      </c>
      <c r="D7" s="139"/>
      <c r="E7" s="141"/>
      <c r="F7" s="132" t="s">
        <v>51</v>
      </c>
      <c r="G7" s="121" t="s">
        <v>100</v>
      </c>
      <c r="H7" s="121" t="s">
        <v>113</v>
      </c>
    </row>
    <row r="8" spans="1:36" ht="25.5" x14ac:dyDescent="0.2">
      <c r="A8" s="138"/>
      <c r="B8" s="140"/>
      <c r="C8" s="24" t="s">
        <v>96</v>
      </c>
      <c r="D8" s="9" t="s">
        <v>97</v>
      </c>
      <c r="E8" s="31" t="s">
        <v>98</v>
      </c>
      <c r="F8" s="132"/>
      <c r="G8" s="121"/>
      <c r="H8" s="121"/>
    </row>
    <row r="9" spans="1:36" x14ac:dyDescent="0.2">
      <c r="A9" s="138"/>
      <c r="B9" s="140"/>
      <c r="C9" s="8" t="s">
        <v>2</v>
      </c>
      <c r="D9" s="10" t="s">
        <v>2</v>
      </c>
      <c r="E9" s="32" t="s">
        <v>2</v>
      </c>
      <c r="F9" s="132"/>
      <c r="G9" s="121"/>
      <c r="H9" s="121"/>
    </row>
    <row r="10" spans="1:36" ht="15" customHeight="1" thickBot="1" x14ac:dyDescent="0.25">
      <c r="A10" s="42">
        <v>1</v>
      </c>
      <c r="B10" s="43">
        <v>2</v>
      </c>
      <c r="C10" s="43">
        <v>3</v>
      </c>
      <c r="D10" s="44">
        <v>4</v>
      </c>
      <c r="E10" s="45">
        <v>5</v>
      </c>
      <c r="F10" s="40"/>
      <c r="G10" s="38"/>
    </row>
    <row r="11" spans="1:36" ht="28.5" customHeight="1" thickBot="1" x14ac:dyDescent="0.25">
      <c r="A11" s="123" t="s">
        <v>41</v>
      </c>
      <c r="B11" s="124"/>
      <c r="C11" s="124"/>
      <c r="D11" s="124"/>
      <c r="E11" s="125"/>
      <c r="F11" s="40"/>
      <c r="G11" s="38"/>
    </row>
    <row r="12" spans="1:36" x14ac:dyDescent="0.2">
      <c r="A12" s="59" t="s">
        <v>3</v>
      </c>
      <c r="B12" s="60" t="s">
        <v>95</v>
      </c>
      <c r="C12" s="66">
        <v>0</v>
      </c>
      <c r="D12" s="70">
        <f>ROUND(0.19*C12,2)</f>
        <v>0</v>
      </c>
      <c r="E12" s="71">
        <f>D12+C12</f>
        <v>0</v>
      </c>
      <c r="F12" s="39" t="s">
        <v>29</v>
      </c>
      <c r="G12" s="38" t="s">
        <v>101</v>
      </c>
      <c r="H12" s="38" t="s">
        <v>101</v>
      </c>
    </row>
    <row r="13" spans="1:36" s="19" customFormat="1" x14ac:dyDescent="0.2">
      <c r="A13" s="34" t="s">
        <v>4</v>
      </c>
      <c r="B13" s="46" t="s">
        <v>94</v>
      </c>
      <c r="C13" s="67">
        <v>0</v>
      </c>
      <c r="D13" s="72">
        <f>ROUND(0.19*C13,2)+0.01</f>
        <v>0.01</v>
      </c>
      <c r="E13" s="73">
        <f>D13+C13</f>
        <v>0.01</v>
      </c>
      <c r="F13" s="39" t="s">
        <v>30</v>
      </c>
      <c r="G13" s="38" t="s">
        <v>106</v>
      </c>
      <c r="H13" s="38" t="s">
        <v>106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</row>
    <row r="14" spans="1:36" ht="25.5" x14ac:dyDescent="0.2">
      <c r="A14" s="34" t="s">
        <v>5</v>
      </c>
      <c r="B14" s="23" t="s">
        <v>42</v>
      </c>
      <c r="C14" s="68">
        <v>40000</v>
      </c>
      <c r="D14" s="72">
        <f>ROUND(0.19*C14,2)</f>
        <v>7600</v>
      </c>
      <c r="E14" s="73">
        <f>D14+C14</f>
        <v>47600</v>
      </c>
      <c r="F14" s="39" t="s">
        <v>29</v>
      </c>
      <c r="G14" s="38" t="s">
        <v>106</v>
      </c>
      <c r="H14" s="38" t="s">
        <v>106</v>
      </c>
    </row>
    <row r="15" spans="1:36" s="19" customFormat="1" ht="19.899999999999999" customHeight="1" x14ac:dyDescent="0.2">
      <c r="A15" s="35" t="s">
        <v>52</v>
      </c>
      <c r="B15" s="23" t="s">
        <v>53</v>
      </c>
      <c r="C15" s="67">
        <v>80000</v>
      </c>
      <c r="D15" s="72">
        <f>ROUND(0.19*C15,2)</f>
        <v>15200</v>
      </c>
      <c r="E15" s="73">
        <f>D15+C15</f>
        <v>95200</v>
      </c>
      <c r="F15" s="39" t="s">
        <v>30</v>
      </c>
      <c r="G15" s="38" t="s">
        <v>106</v>
      </c>
      <c r="H15" s="38" t="s">
        <v>106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</row>
    <row r="16" spans="1:36" ht="16.5" customHeight="1" thickBot="1" x14ac:dyDescent="0.25">
      <c r="A16" s="57"/>
      <c r="B16" s="58" t="s">
        <v>39</v>
      </c>
      <c r="C16" s="69">
        <f>SUMIFS(C12:C15,$F$12:$F$15,"&lt;&gt;")</f>
        <v>120000</v>
      </c>
      <c r="D16" s="69">
        <f>SUMIFS(D12:D15,$F$12:$F$15,"&lt;&gt;0")</f>
        <v>22800.010000000002</v>
      </c>
      <c r="E16" s="69">
        <f>SUMIFS(E12:E15,$F$12:$F$15,"&lt;&gt;0")</f>
        <v>142800.01</v>
      </c>
      <c r="F16" s="39"/>
      <c r="G16" s="38"/>
    </row>
    <row r="17" spans="1:36" ht="34.5" customHeight="1" x14ac:dyDescent="0.2">
      <c r="A17" s="123" t="s">
        <v>43</v>
      </c>
      <c r="B17" s="124"/>
      <c r="C17" s="124"/>
      <c r="D17" s="124"/>
      <c r="E17" s="125"/>
      <c r="F17" s="39"/>
      <c r="G17" s="38"/>
    </row>
    <row r="18" spans="1:36" ht="25.5" x14ac:dyDescent="0.2">
      <c r="A18" s="34">
        <v>2</v>
      </c>
      <c r="B18" s="23" t="s">
        <v>54</v>
      </c>
      <c r="C18" s="68">
        <v>0</v>
      </c>
      <c r="D18" s="72">
        <f>ROUND(0.19*C18,2)</f>
        <v>0</v>
      </c>
      <c r="E18" s="73">
        <f>D18+C18</f>
        <v>0</v>
      </c>
      <c r="F18" s="39" t="s">
        <v>30</v>
      </c>
      <c r="G18" s="40" t="s">
        <v>106</v>
      </c>
      <c r="H18" s="40" t="s">
        <v>106</v>
      </c>
    </row>
    <row r="19" spans="1:36" ht="16.5" customHeight="1" thickBot="1" x14ac:dyDescent="0.25">
      <c r="A19" s="51"/>
      <c r="B19" s="61" t="s">
        <v>40</v>
      </c>
      <c r="C19" s="69">
        <f>SUMIFS(C18,$F$18,"&lt;&gt;")</f>
        <v>0</v>
      </c>
      <c r="D19" s="69">
        <f>SUMIFS(D18,$F$18,"&lt;&gt;0")</f>
        <v>0</v>
      </c>
      <c r="E19" s="74">
        <f>SUMIFS(E18,$F$18,"&lt;&gt;0")</f>
        <v>0</v>
      </c>
      <c r="F19" s="39"/>
      <c r="G19" s="38"/>
    </row>
    <row r="20" spans="1:36" ht="30.75" customHeight="1" thickBot="1" x14ac:dyDescent="0.25">
      <c r="A20" s="123" t="s">
        <v>44</v>
      </c>
      <c r="B20" s="124"/>
      <c r="C20" s="124"/>
      <c r="D20" s="124"/>
      <c r="E20" s="125"/>
      <c r="F20" s="39"/>
      <c r="G20" s="38"/>
    </row>
    <row r="21" spans="1:36" x14ac:dyDescent="0.2">
      <c r="A21" s="59" t="s">
        <v>6</v>
      </c>
      <c r="B21" s="65" t="s">
        <v>55</v>
      </c>
      <c r="C21" s="66">
        <v>16500</v>
      </c>
      <c r="D21" s="79">
        <f t="shared" ref="D21:D34" si="0">ROUND(0.19*C21,2)</f>
        <v>3135</v>
      </c>
      <c r="E21" s="80">
        <f t="shared" ref="E21:E34" si="1">D21+C21</f>
        <v>19635</v>
      </c>
      <c r="F21" s="39" t="s">
        <v>29</v>
      </c>
      <c r="G21" s="38" t="s">
        <v>106</v>
      </c>
      <c r="H21" s="38" t="s">
        <v>101</v>
      </c>
    </row>
    <row r="22" spans="1:36" ht="25.5" x14ac:dyDescent="0.2">
      <c r="A22" s="34" t="s">
        <v>7</v>
      </c>
      <c r="B22" s="23" t="s">
        <v>56</v>
      </c>
      <c r="C22" s="68">
        <v>0</v>
      </c>
      <c r="D22" s="77">
        <f t="shared" si="0"/>
        <v>0</v>
      </c>
      <c r="E22" s="78">
        <f t="shared" si="1"/>
        <v>0</v>
      </c>
      <c r="F22" s="39" t="s">
        <v>29</v>
      </c>
      <c r="G22" s="38" t="s">
        <v>106</v>
      </c>
      <c r="H22" s="38" t="s">
        <v>101</v>
      </c>
    </row>
    <row r="23" spans="1:36" x14ac:dyDescent="0.2">
      <c r="A23" s="35" t="s">
        <v>8</v>
      </c>
      <c r="B23" s="23" t="s">
        <v>57</v>
      </c>
      <c r="C23" s="68">
        <v>0</v>
      </c>
      <c r="D23" s="77">
        <f t="shared" si="0"/>
        <v>0</v>
      </c>
      <c r="E23" s="78">
        <f t="shared" si="1"/>
        <v>0</v>
      </c>
      <c r="F23" s="39" t="s">
        <v>29</v>
      </c>
      <c r="G23" s="38" t="s">
        <v>106</v>
      </c>
      <c r="H23" s="38" t="s">
        <v>101</v>
      </c>
    </row>
    <row r="24" spans="1:36" ht="25.5" x14ac:dyDescent="0.2">
      <c r="A24" s="35" t="s">
        <v>9</v>
      </c>
      <c r="B24" s="23" t="s">
        <v>58</v>
      </c>
      <c r="C24" s="68">
        <v>0</v>
      </c>
      <c r="D24" s="77">
        <f t="shared" si="0"/>
        <v>0</v>
      </c>
      <c r="E24" s="78">
        <f t="shared" si="1"/>
        <v>0</v>
      </c>
      <c r="F24" s="39" t="s">
        <v>29</v>
      </c>
      <c r="G24" s="38" t="s">
        <v>106</v>
      </c>
      <c r="H24" s="38" t="s">
        <v>101</v>
      </c>
    </row>
    <row r="25" spans="1:36" x14ac:dyDescent="0.2">
      <c r="A25" s="35" t="s">
        <v>10</v>
      </c>
      <c r="B25" s="47" t="s">
        <v>59</v>
      </c>
      <c r="C25" s="77">
        <f>SUM(C26:C31)</f>
        <v>149000</v>
      </c>
      <c r="D25" s="77">
        <f>SUM(D26:D31)</f>
        <v>28310</v>
      </c>
      <c r="E25" s="78">
        <f>SUM(E26:E31)</f>
        <v>177310</v>
      </c>
      <c r="F25" s="39"/>
      <c r="G25" s="38"/>
      <c r="H25" s="38"/>
    </row>
    <row r="26" spans="1:36" x14ac:dyDescent="0.2">
      <c r="A26" s="62" t="s">
        <v>60</v>
      </c>
      <c r="B26" s="63" t="s">
        <v>61</v>
      </c>
      <c r="C26" s="75">
        <v>0</v>
      </c>
      <c r="D26" s="81">
        <f t="shared" si="0"/>
        <v>0</v>
      </c>
      <c r="E26" s="82">
        <f t="shared" si="1"/>
        <v>0</v>
      </c>
      <c r="F26" s="39" t="s">
        <v>29</v>
      </c>
      <c r="G26" s="38" t="s">
        <v>106</v>
      </c>
      <c r="H26" s="38" t="s">
        <v>101</v>
      </c>
    </row>
    <row r="27" spans="1:36" x14ac:dyDescent="0.2">
      <c r="A27" s="62" t="s">
        <v>62</v>
      </c>
      <c r="B27" s="63" t="s">
        <v>63</v>
      </c>
      <c r="C27" s="75">
        <v>0</v>
      </c>
      <c r="D27" s="81">
        <f t="shared" si="0"/>
        <v>0</v>
      </c>
      <c r="E27" s="82">
        <f t="shared" si="1"/>
        <v>0</v>
      </c>
      <c r="F27" s="39" t="s">
        <v>29</v>
      </c>
      <c r="G27" s="38" t="s">
        <v>106</v>
      </c>
      <c r="H27" s="38" t="s">
        <v>101</v>
      </c>
    </row>
    <row r="28" spans="1:36" ht="24" x14ac:dyDescent="0.2">
      <c r="A28" s="62" t="s">
        <v>64</v>
      </c>
      <c r="B28" s="64" t="s">
        <v>65</v>
      </c>
      <c r="C28" s="75">
        <v>10000</v>
      </c>
      <c r="D28" s="81">
        <f t="shared" si="0"/>
        <v>1900</v>
      </c>
      <c r="E28" s="82">
        <f t="shared" si="1"/>
        <v>11900</v>
      </c>
      <c r="F28" s="39" t="s">
        <v>29</v>
      </c>
      <c r="G28" s="38" t="s">
        <v>106</v>
      </c>
      <c r="H28" s="38" t="s">
        <v>101</v>
      </c>
    </row>
    <row r="29" spans="1:36" ht="24" x14ac:dyDescent="0.2">
      <c r="A29" s="62" t="s">
        <v>66</v>
      </c>
      <c r="B29" s="64" t="s">
        <v>67</v>
      </c>
      <c r="C29" s="75">
        <v>11500</v>
      </c>
      <c r="D29" s="83">
        <f t="shared" si="0"/>
        <v>2185</v>
      </c>
      <c r="E29" s="84">
        <f t="shared" si="1"/>
        <v>13685</v>
      </c>
      <c r="F29" s="39" t="s">
        <v>30</v>
      </c>
      <c r="G29" s="38" t="s">
        <v>106</v>
      </c>
      <c r="H29" s="38" t="s">
        <v>101</v>
      </c>
    </row>
    <row r="30" spans="1:36" ht="24" x14ac:dyDescent="0.2">
      <c r="A30" s="62" t="s">
        <v>68</v>
      </c>
      <c r="B30" s="64" t="s">
        <v>105</v>
      </c>
      <c r="C30" s="75">
        <v>7500</v>
      </c>
      <c r="D30" s="83">
        <f t="shared" si="0"/>
        <v>1425</v>
      </c>
      <c r="E30" s="84">
        <f t="shared" si="1"/>
        <v>8925</v>
      </c>
      <c r="F30" s="39" t="s">
        <v>30</v>
      </c>
      <c r="G30" s="38" t="s">
        <v>106</v>
      </c>
      <c r="H30" s="38" t="s">
        <v>101</v>
      </c>
      <c r="K30" s="112"/>
    </row>
    <row r="31" spans="1:36" x14ac:dyDescent="0.2">
      <c r="A31" s="62" t="s">
        <v>69</v>
      </c>
      <c r="B31" s="64" t="s">
        <v>70</v>
      </c>
      <c r="C31" s="75">
        <v>120000</v>
      </c>
      <c r="D31" s="83">
        <f t="shared" si="0"/>
        <v>22800</v>
      </c>
      <c r="E31" s="84">
        <f t="shared" si="1"/>
        <v>142800</v>
      </c>
      <c r="F31" s="39" t="s">
        <v>30</v>
      </c>
      <c r="G31" s="38" t="s">
        <v>106</v>
      </c>
      <c r="H31" s="38" t="s">
        <v>101</v>
      </c>
      <c r="K31" s="112"/>
    </row>
    <row r="32" spans="1:36" s="20" customFormat="1" x14ac:dyDescent="0.2">
      <c r="A32" s="35" t="s">
        <v>12</v>
      </c>
      <c r="B32" s="23" t="s">
        <v>45</v>
      </c>
      <c r="C32" s="68">
        <v>408.28</v>
      </c>
      <c r="D32" s="77">
        <f t="shared" si="0"/>
        <v>77.569999999999993</v>
      </c>
      <c r="E32" s="78">
        <f t="shared" si="1"/>
        <v>485.84999999999997</v>
      </c>
      <c r="F32" s="41" t="s">
        <v>29</v>
      </c>
      <c r="G32" s="38" t="s">
        <v>106</v>
      </c>
      <c r="H32" s="38" t="s">
        <v>101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</row>
    <row r="33" spans="1:36" s="20" customFormat="1" x14ac:dyDescent="0.2">
      <c r="A33" s="35" t="s">
        <v>71</v>
      </c>
      <c r="B33" s="23" t="s">
        <v>11</v>
      </c>
      <c r="C33" s="68">
        <v>40000</v>
      </c>
      <c r="D33" s="77">
        <f t="shared" si="0"/>
        <v>7600</v>
      </c>
      <c r="E33" s="78">
        <f t="shared" si="1"/>
        <v>47600</v>
      </c>
      <c r="F33" s="41" t="s">
        <v>29</v>
      </c>
      <c r="G33" s="38" t="s">
        <v>106</v>
      </c>
      <c r="H33" s="38" t="s">
        <v>101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</row>
    <row r="34" spans="1:36" x14ac:dyDescent="0.2">
      <c r="A34" s="55" t="s">
        <v>72</v>
      </c>
      <c r="B34" s="56" t="s">
        <v>13</v>
      </c>
      <c r="C34" s="76">
        <v>40000</v>
      </c>
      <c r="D34" s="85">
        <f t="shared" si="0"/>
        <v>7600</v>
      </c>
      <c r="E34" s="86">
        <f t="shared" si="1"/>
        <v>47600</v>
      </c>
      <c r="F34" s="41" t="s">
        <v>29</v>
      </c>
      <c r="G34" s="38" t="s">
        <v>106</v>
      </c>
      <c r="H34" s="38" t="s">
        <v>101</v>
      </c>
    </row>
    <row r="35" spans="1:36" ht="16.5" customHeight="1" thickBot="1" x14ac:dyDescent="0.25">
      <c r="A35" s="57"/>
      <c r="B35" s="58" t="s">
        <v>36</v>
      </c>
      <c r="C35" s="87">
        <f>SUMIFS(C21:C34,$F$21:$F$34,"&lt;&gt;")</f>
        <v>245908.28</v>
      </c>
      <c r="D35" s="87">
        <f>SUMIFS(D21:D34,$F$21:$F$34,"&lt;&gt;")</f>
        <v>46722.57</v>
      </c>
      <c r="E35" s="88">
        <f>SUMIFS(E21:E34,$F$21:$F$34,"&lt;&gt;")</f>
        <v>292630.84999999998</v>
      </c>
      <c r="F35" s="39"/>
      <c r="G35" s="38"/>
    </row>
    <row r="36" spans="1:36" ht="30" customHeight="1" x14ac:dyDescent="0.2">
      <c r="A36" s="126" t="s">
        <v>46</v>
      </c>
      <c r="B36" s="127"/>
      <c r="C36" s="127"/>
      <c r="D36" s="127"/>
      <c r="E36" s="128"/>
      <c r="F36" s="39"/>
      <c r="G36" s="38"/>
    </row>
    <row r="37" spans="1:36" x14ac:dyDescent="0.2">
      <c r="A37" s="34" t="s">
        <v>14</v>
      </c>
      <c r="B37" s="23" t="s">
        <v>102</v>
      </c>
      <c r="C37" s="77">
        <f>C38+C39</f>
        <v>2041410.96</v>
      </c>
      <c r="D37" s="77">
        <f>D38+D39</f>
        <v>387868.08</v>
      </c>
      <c r="E37" s="78">
        <f>E38+E39</f>
        <v>2429279.0300000003</v>
      </c>
      <c r="F37" s="39"/>
      <c r="G37" s="38"/>
    </row>
    <row r="38" spans="1:36" x14ac:dyDescent="0.2">
      <c r="A38" s="50" t="str">
        <f>A37&amp;".1"</f>
        <v>4.1.1</v>
      </c>
      <c r="B38" s="49" t="s">
        <v>103</v>
      </c>
      <c r="C38" s="75">
        <v>0</v>
      </c>
      <c r="D38" s="81">
        <f>ROUND(0.19*C38,2)</f>
        <v>0</v>
      </c>
      <c r="E38" s="82">
        <f>D38+C38</f>
        <v>0</v>
      </c>
      <c r="F38" s="39" t="s">
        <v>30</v>
      </c>
      <c r="G38" s="38" t="s">
        <v>106</v>
      </c>
      <c r="H38" s="38" t="s">
        <v>106</v>
      </c>
      <c r="J38" s="112" t="e">
        <f>#REF!</f>
        <v>#REF!</v>
      </c>
    </row>
    <row r="39" spans="1:36" x14ac:dyDescent="0.2">
      <c r="A39" s="50" t="str">
        <f>A37&amp;".2"</f>
        <v>4.1.2</v>
      </c>
      <c r="B39" s="11" t="s">
        <v>104</v>
      </c>
      <c r="C39" s="75">
        <v>2041410.96</v>
      </c>
      <c r="D39" s="81">
        <f>ROUND(0.19*C39,2)</f>
        <v>387868.08</v>
      </c>
      <c r="E39" s="82">
        <f>D39+C39-0.01</f>
        <v>2429279.0300000003</v>
      </c>
      <c r="F39" s="39" t="s">
        <v>30</v>
      </c>
      <c r="G39" s="38" t="s">
        <v>101</v>
      </c>
      <c r="H39" s="38" t="s">
        <v>106</v>
      </c>
      <c r="J39" s="112" t="e">
        <f>#REF!</f>
        <v>#REF!</v>
      </c>
    </row>
    <row r="40" spans="1:36" x14ac:dyDescent="0.2">
      <c r="A40" s="34" t="s">
        <v>15</v>
      </c>
      <c r="B40" s="23" t="s">
        <v>73</v>
      </c>
      <c r="C40" s="77">
        <f>C41+C42</f>
        <v>0</v>
      </c>
      <c r="D40" s="77">
        <f>D41+D42</f>
        <v>0</v>
      </c>
      <c r="E40" s="78">
        <f>E41+E42</f>
        <v>0</v>
      </c>
      <c r="F40" s="39"/>
      <c r="G40" s="38"/>
      <c r="H40" s="38"/>
      <c r="K40" s="22">
        <f>375000</f>
        <v>375000</v>
      </c>
    </row>
    <row r="41" spans="1:36" x14ac:dyDescent="0.2">
      <c r="A41" s="50" t="str">
        <f>A40&amp;".1"</f>
        <v>4.2.1</v>
      </c>
      <c r="B41" s="49" t="s">
        <v>103</v>
      </c>
      <c r="C41" s="75">
        <v>0</v>
      </c>
      <c r="D41" s="81">
        <f>ROUND(0.19*C41,2)</f>
        <v>0</v>
      </c>
      <c r="E41" s="82">
        <f>D41+C41</f>
        <v>0</v>
      </c>
      <c r="F41" s="39" t="s">
        <v>30</v>
      </c>
      <c r="G41" s="38" t="s">
        <v>106</v>
      </c>
      <c r="H41" s="38" t="s">
        <v>106</v>
      </c>
      <c r="K41" s="112">
        <f>C38-K40</f>
        <v>-375000</v>
      </c>
    </row>
    <row r="42" spans="1:36" x14ac:dyDescent="0.2">
      <c r="A42" s="50" t="str">
        <f>A40&amp;".2"</f>
        <v>4.2.2</v>
      </c>
      <c r="B42" s="11" t="s">
        <v>104</v>
      </c>
      <c r="C42" s="75">
        <v>0</v>
      </c>
      <c r="D42" s="81">
        <f>ROUND(0.19*C42,2)</f>
        <v>0</v>
      </c>
      <c r="E42" s="82">
        <f>D42+C42</f>
        <v>0</v>
      </c>
      <c r="F42" s="39" t="s">
        <v>30</v>
      </c>
      <c r="G42" s="38" t="s">
        <v>101</v>
      </c>
      <c r="H42" s="38" t="s">
        <v>106</v>
      </c>
      <c r="K42" s="22">
        <f>2959815.89+53407.5</f>
        <v>3013223.39</v>
      </c>
    </row>
    <row r="43" spans="1:36" ht="25.5" x14ac:dyDescent="0.2">
      <c r="A43" s="34" t="s">
        <v>16</v>
      </c>
      <c r="B43" s="23" t="s">
        <v>74</v>
      </c>
      <c r="C43" s="77">
        <f>C44+C45</f>
        <v>0</v>
      </c>
      <c r="D43" s="77">
        <f>D44+D45</f>
        <v>0</v>
      </c>
      <c r="E43" s="78">
        <f>E44+E45</f>
        <v>0</v>
      </c>
      <c r="F43" s="39"/>
      <c r="G43" s="38"/>
      <c r="H43" s="38"/>
    </row>
    <row r="44" spans="1:36" x14ac:dyDescent="0.2">
      <c r="A44" s="50" t="str">
        <f>A43&amp;".1"</f>
        <v>4.3.1</v>
      </c>
      <c r="B44" s="49" t="s">
        <v>103</v>
      </c>
      <c r="C44" s="75">
        <v>0</v>
      </c>
      <c r="D44" s="81">
        <f>ROUND(0.19*C44,2)</f>
        <v>0</v>
      </c>
      <c r="E44" s="82">
        <f>D44+C44</f>
        <v>0</v>
      </c>
      <c r="F44" s="39" t="s">
        <v>30</v>
      </c>
      <c r="G44" s="38" t="s">
        <v>106</v>
      </c>
      <c r="H44" s="38" t="s">
        <v>101</v>
      </c>
    </row>
    <row r="45" spans="1:36" x14ac:dyDescent="0.2">
      <c r="A45" s="50" t="str">
        <f>A43&amp;".2"</f>
        <v>4.3.2</v>
      </c>
      <c r="B45" s="11" t="s">
        <v>104</v>
      </c>
      <c r="C45" s="75">
        <v>0</v>
      </c>
      <c r="D45" s="81">
        <f>ROUND(0.19*C45,2)</f>
        <v>0</v>
      </c>
      <c r="E45" s="82">
        <f>D45+C45</f>
        <v>0</v>
      </c>
      <c r="F45" s="39" t="s">
        <v>30</v>
      </c>
      <c r="G45" s="38" t="s">
        <v>101</v>
      </c>
      <c r="H45" s="38" t="s">
        <v>101</v>
      </c>
    </row>
    <row r="46" spans="1:36" s="25" customFormat="1" ht="25.5" x14ac:dyDescent="0.2">
      <c r="A46" s="34" t="s">
        <v>17</v>
      </c>
      <c r="B46" s="23" t="s">
        <v>75</v>
      </c>
      <c r="C46" s="77">
        <f>C47+C48</f>
        <v>0</v>
      </c>
      <c r="D46" s="77">
        <f>D47+D48</f>
        <v>0</v>
      </c>
      <c r="E46" s="78">
        <f>E47+E48</f>
        <v>0</v>
      </c>
      <c r="F46" s="40"/>
      <c r="G46" s="38"/>
      <c r="H46" s="38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</row>
    <row r="47" spans="1:36" x14ac:dyDescent="0.2">
      <c r="A47" s="50" t="str">
        <f>A46&amp;".1"</f>
        <v>4.4.1</v>
      </c>
      <c r="B47" s="49" t="s">
        <v>103</v>
      </c>
      <c r="C47" s="75">
        <v>0</v>
      </c>
      <c r="D47" s="81">
        <f>ROUND(0.19*C47,2)</f>
        <v>0</v>
      </c>
      <c r="E47" s="82">
        <f>D47+C47</f>
        <v>0</v>
      </c>
      <c r="F47" s="39" t="s">
        <v>30</v>
      </c>
      <c r="G47" s="38" t="s">
        <v>106</v>
      </c>
      <c r="H47" s="38" t="s">
        <v>101</v>
      </c>
    </row>
    <row r="48" spans="1:36" x14ac:dyDescent="0.2">
      <c r="A48" s="50" t="str">
        <f>A46&amp;".2"</f>
        <v>4.4.2</v>
      </c>
      <c r="B48" s="11" t="s">
        <v>104</v>
      </c>
      <c r="C48" s="75">
        <v>0</v>
      </c>
      <c r="D48" s="81">
        <f>ROUND(0.19*C48,2)</f>
        <v>0</v>
      </c>
      <c r="E48" s="82">
        <f>D48+C48</f>
        <v>0</v>
      </c>
      <c r="F48" s="39" t="s">
        <v>30</v>
      </c>
      <c r="G48" s="38" t="s">
        <v>101</v>
      </c>
      <c r="H48" s="38" t="s">
        <v>101</v>
      </c>
    </row>
    <row r="49" spans="1:8" x14ac:dyDescent="0.2">
      <c r="A49" s="34" t="s">
        <v>18</v>
      </c>
      <c r="B49" s="23" t="s">
        <v>47</v>
      </c>
      <c r="C49" s="77">
        <f>C50+C51</f>
        <v>0</v>
      </c>
      <c r="D49" s="77">
        <f>D50+D51</f>
        <v>0</v>
      </c>
      <c r="E49" s="78">
        <f>E50+E51</f>
        <v>0</v>
      </c>
      <c r="F49" s="39"/>
      <c r="G49" s="38"/>
      <c r="H49" s="38"/>
    </row>
    <row r="50" spans="1:8" x14ac:dyDescent="0.2">
      <c r="A50" s="50" t="str">
        <f>A49&amp;".1"</f>
        <v>4.5.1</v>
      </c>
      <c r="B50" s="49" t="s">
        <v>103</v>
      </c>
      <c r="C50" s="75">
        <v>0</v>
      </c>
      <c r="D50" s="81">
        <f>ROUND(0.19*C50,2)</f>
        <v>0</v>
      </c>
      <c r="E50" s="82">
        <f>D50+C50</f>
        <v>0</v>
      </c>
      <c r="F50" s="39" t="s">
        <v>30</v>
      </c>
      <c r="G50" s="38" t="s">
        <v>106</v>
      </c>
      <c r="H50" s="38" t="s">
        <v>101</v>
      </c>
    </row>
    <row r="51" spans="1:8" x14ac:dyDescent="0.2">
      <c r="A51" s="50" t="str">
        <f>A49&amp;".2"</f>
        <v>4.5.2</v>
      </c>
      <c r="B51" s="11" t="s">
        <v>104</v>
      </c>
      <c r="C51" s="75">
        <v>0</v>
      </c>
      <c r="D51" s="81">
        <f>ROUND(0.19*C51,2)</f>
        <v>0</v>
      </c>
      <c r="E51" s="82">
        <f>D51+C51</f>
        <v>0</v>
      </c>
      <c r="F51" s="39" t="s">
        <v>30</v>
      </c>
      <c r="G51" s="38" t="s">
        <v>101</v>
      </c>
      <c r="H51" s="38" t="s">
        <v>101</v>
      </c>
    </row>
    <row r="52" spans="1:8" x14ac:dyDescent="0.2">
      <c r="A52" s="34" t="s">
        <v>26</v>
      </c>
      <c r="B52" s="23" t="s">
        <v>27</v>
      </c>
      <c r="C52" s="77">
        <f>C53+C54</f>
        <v>0</v>
      </c>
      <c r="D52" s="77">
        <f>D53+D54</f>
        <v>0</v>
      </c>
      <c r="E52" s="78">
        <f>E53+E54</f>
        <v>0</v>
      </c>
      <c r="F52" s="39"/>
      <c r="G52" s="38"/>
      <c r="H52" s="38"/>
    </row>
    <row r="53" spans="1:8" x14ac:dyDescent="0.2">
      <c r="A53" s="50" t="str">
        <f>A52&amp;".1"</f>
        <v>4.6.1</v>
      </c>
      <c r="B53" s="49" t="s">
        <v>103</v>
      </c>
      <c r="C53" s="75">
        <v>0</v>
      </c>
      <c r="D53" s="81">
        <f>ROUND(0.19*C53,2)</f>
        <v>0</v>
      </c>
      <c r="E53" s="82">
        <f>D53+C53</f>
        <v>0</v>
      </c>
      <c r="F53" s="39" t="s">
        <v>30</v>
      </c>
      <c r="G53" s="38" t="s">
        <v>106</v>
      </c>
      <c r="H53" s="38" t="s">
        <v>101</v>
      </c>
    </row>
    <row r="54" spans="1:8" x14ac:dyDescent="0.2">
      <c r="A54" s="50" t="str">
        <f>A52&amp;".2"</f>
        <v>4.6.2</v>
      </c>
      <c r="B54" s="11" t="s">
        <v>104</v>
      </c>
      <c r="C54" s="75">
        <v>0</v>
      </c>
      <c r="D54" s="81">
        <f>ROUND(0.19*C54,2)</f>
        <v>0</v>
      </c>
      <c r="E54" s="82">
        <f>D54+C54</f>
        <v>0</v>
      </c>
      <c r="F54" s="39" t="s">
        <v>30</v>
      </c>
      <c r="G54" s="38" t="s">
        <v>101</v>
      </c>
      <c r="H54" s="38" t="s">
        <v>101</v>
      </c>
    </row>
    <row r="55" spans="1:8" ht="15" thickBot="1" x14ac:dyDescent="0.25">
      <c r="A55" s="51"/>
      <c r="B55" s="58" t="s">
        <v>35</v>
      </c>
      <c r="C55" s="87">
        <f>SUMIFS(C37:C54,$F$37:$F$54,"&lt;&gt;")</f>
        <v>2041410.96</v>
      </c>
      <c r="D55" s="87">
        <f>SUMIFS(D37:D54,$F$37:$F$54,"&lt;&gt;")</f>
        <v>387868.08</v>
      </c>
      <c r="E55" s="88">
        <f>SUMIFS(E37:E54,$F$37:$F$54,"&lt;&gt;")</f>
        <v>2429279.0300000003</v>
      </c>
      <c r="F55" s="39"/>
      <c r="G55" s="38"/>
      <c r="H55" s="38"/>
    </row>
    <row r="56" spans="1:8" ht="29.25" customHeight="1" x14ac:dyDescent="0.2">
      <c r="A56" s="129" t="s">
        <v>19</v>
      </c>
      <c r="B56" s="130"/>
      <c r="C56" s="130"/>
      <c r="D56" s="130"/>
      <c r="E56" s="131"/>
      <c r="F56" s="39"/>
      <c r="G56" s="38"/>
      <c r="H56" s="38"/>
    </row>
    <row r="57" spans="1:8" ht="15" customHeight="1" x14ac:dyDescent="0.2">
      <c r="A57" s="34" t="s">
        <v>20</v>
      </c>
      <c r="B57" s="46" t="s">
        <v>90</v>
      </c>
      <c r="C57" s="77">
        <f>C58+C59</f>
        <v>81656.429999999993</v>
      </c>
      <c r="D57" s="77">
        <f>D58+D59</f>
        <v>15514.720000000001</v>
      </c>
      <c r="E57" s="78">
        <f>E58+E59</f>
        <v>97171.15</v>
      </c>
      <c r="F57" s="39"/>
      <c r="G57" s="38"/>
      <c r="H57" s="38"/>
    </row>
    <row r="58" spans="1:8" ht="25.5" x14ac:dyDescent="0.2">
      <c r="A58" s="48" t="s">
        <v>34</v>
      </c>
      <c r="B58" s="49" t="s">
        <v>76</v>
      </c>
      <c r="C58" s="75">
        <v>51035.27</v>
      </c>
      <c r="D58" s="77">
        <f>ROUND(0.19*C58,2)</f>
        <v>9696.7000000000007</v>
      </c>
      <c r="E58" s="78">
        <f>D58+C58</f>
        <v>60731.97</v>
      </c>
      <c r="F58" s="39" t="s">
        <v>30</v>
      </c>
      <c r="G58" s="38" t="s">
        <v>106</v>
      </c>
      <c r="H58" s="38" t="s">
        <v>106</v>
      </c>
    </row>
    <row r="59" spans="1:8" ht="15.75" customHeight="1" x14ac:dyDescent="0.2">
      <c r="A59" s="48" t="s">
        <v>48</v>
      </c>
      <c r="B59" s="11" t="s">
        <v>77</v>
      </c>
      <c r="C59" s="75">
        <v>30621.16</v>
      </c>
      <c r="D59" s="77">
        <f>ROUND(0.19*C59,2)</f>
        <v>5818.02</v>
      </c>
      <c r="E59" s="78">
        <f>D59+C59</f>
        <v>36439.18</v>
      </c>
      <c r="F59" s="39" t="s">
        <v>29</v>
      </c>
      <c r="G59" s="38" t="s">
        <v>106</v>
      </c>
      <c r="H59" s="38" t="s">
        <v>101</v>
      </c>
    </row>
    <row r="60" spans="1:8" ht="26.25" customHeight="1" x14ac:dyDescent="0.2">
      <c r="A60" s="34" t="s">
        <v>21</v>
      </c>
      <c r="B60" s="23" t="s">
        <v>49</v>
      </c>
      <c r="C60" s="77">
        <f>SUM(C61:C65)</f>
        <v>35399.13968</v>
      </c>
      <c r="D60" s="77">
        <f>SUM(D61:D65)</f>
        <v>0</v>
      </c>
      <c r="E60" s="78">
        <f>SUM(E61:E65)</f>
        <v>35399.13968</v>
      </c>
      <c r="F60" s="39"/>
      <c r="G60" s="38"/>
      <c r="H60" s="38"/>
    </row>
    <row r="61" spans="1:8" ht="25.5" x14ac:dyDescent="0.2">
      <c r="A61" s="33" t="s">
        <v>78</v>
      </c>
      <c r="B61" s="21" t="s">
        <v>79</v>
      </c>
      <c r="C61" s="75">
        <v>0</v>
      </c>
      <c r="D61" s="77">
        <v>0</v>
      </c>
      <c r="E61" s="78">
        <f t="shared" ref="E61:E67" si="2">D61+C61</f>
        <v>0</v>
      </c>
      <c r="F61" s="39" t="s">
        <v>29</v>
      </c>
      <c r="G61" s="38" t="s">
        <v>106</v>
      </c>
      <c r="H61" s="38" t="s">
        <v>101</v>
      </c>
    </row>
    <row r="62" spans="1:8" s="22" customFormat="1" ht="25.5" x14ac:dyDescent="0.2">
      <c r="A62" s="33" t="s">
        <v>80</v>
      </c>
      <c r="B62" s="21" t="s">
        <v>81</v>
      </c>
      <c r="C62" s="75">
        <f>C74*0.5/100</f>
        <v>11062.23115</v>
      </c>
      <c r="D62" s="77">
        <v>0</v>
      </c>
      <c r="E62" s="78">
        <f t="shared" si="2"/>
        <v>11062.23115</v>
      </c>
      <c r="F62" s="39" t="s">
        <v>30</v>
      </c>
      <c r="G62" s="38" t="s">
        <v>106</v>
      </c>
      <c r="H62" s="38" t="s">
        <v>101</v>
      </c>
    </row>
    <row r="63" spans="1:8" s="22" customFormat="1" ht="38.25" x14ac:dyDescent="0.2">
      <c r="A63" s="33" t="s">
        <v>82</v>
      </c>
      <c r="B63" s="21" t="s">
        <v>83</v>
      </c>
      <c r="C63" s="75">
        <f>C74*0.1/100</f>
        <v>2212.44623</v>
      </c>
      <c r="D63" s="77">
        <v>0</v>
      </c>
      <c r="E63" s="78">
        <f t="shared" si="2"/>
        <v>2212.44623</v>
      </c>
      <c r="F63" s="39" t="s">
        <v>30</v>
      </c>
      <c r="G63" s="38" t="s">
        <v>106</v>
      </c>
      <c r="H63" s="38" t="s">
        <v>101</v>
      </c>
    </row>
    <row r="64" spans="1:8" s="22" customFormat="1" x14ac:dyDescent="0.2">
      <c r="A64" s="33" t="s">
        <v>84</v>
      </c>
      <c r="B64" s="21" t="s">
        <v>85</v>
      </c>
      <c r="C64" s="75">
        <f>C74*0.5/100</f>
        <v>11062.23115</v>
      </c>
      <c r="D64" s="77">
        <v>0</v>
      </c>
      <c r="E64" s="78">
        <f t="shared" si="2"/>
        <v>11062.23115</v>
      </c>
      <c r="F64" s="39" t="s">
        <v>30</v>
      </c>
      <c r="G64" s="38" t="s">
        <v>106</v>
      </c>
      <c r="H64" s="38" t="s">
        <v>101</v>
      </c>
    </row>
    <row r="65" spans="1:11" ht="25.5" x14ac:dyDescent="0.2">
      <c r="A65" s="33" t="s">
        <v>86</v>
      </c>
      <c r="B65" s="21" t="s">
        <v>87</v>
      </c>
      <c r="C65" s="75">
        <f>C74*0.5/100</f>
        <v>11062.23115</v>
      </c>
      <c r="D65" s="77">
        <v>0</v>
      </c>
      <c r="E65" s="78">
        <f t="shared" si="2"/>
        <v>11062.23115</v>
      </c>
      <c r="F65" s="39" t="s">
        <v>29</v>
      </c>
      <c r="G65" s="38" t="s">
        <v>106</v>
      </c>
      <c r="H65" s="38" t="s">
        <v>101</v>
      </c>
    </row>
    <row r="66" spans="1:11" x14ac:dyDescent="0.2">
      <c r="A66" s="34" t="s">
        <v>22</v>
      </c>
      <c r="B66" s="23" t="s">
        <v>31</v>
      </c>
      <c r="C66" s="75">
        <f>0.2*C55</f>
        <v>408282.19200000004</v>
      </c>
      <c r="D66" s="77">
        <f>ROUND(0.19*C66,2)</f>
        <v>77573.62</v>
      </c>
      <c r="E66" s="78">
        <f t="shared" si="2"/>
        <v>485855.81200000003</v>
      </c>
      <c r="F66" s="39" t="s">
        <v>30</v>
      </c>
      <c r="G66" s="38" t="s">
        <v>106</v>
      </c>
      <c r="H66" s="38" t="s">
        <v>101</v>
      </c>
    </row>
    <row r="67" spans="1:11" x14ac:dyDescent="0.2">
      <c r="A67" s="35" t="s">
        <v>88</v>
      </c>
      <c r="B67" s="23" t="s">
        <v>89</v>
      </c>
      <c r="C67" s="75">
        <f>C65</f>
        <v>11062.23115</v>
      </c>
      <c r="D67" s="77">
        <f>ROUND(0.19*C67,2)</f>
        <v>2101.8200000000002</v>
      </c>
      <c r="E67" s="78">
        <f t="shared" si="2"/>
        <v>13164.051149999999</v>
      </c>
      <c r="F67" s="39" t="s">
        <v>29</v>
      </c>
      <c r="G67" s="38" t="s">
        <v>106</v>
      </c>
      <c r="H67" s="38" t="s">
        <v>101</v>
      </c>
    </row>
    <row r="68" spans="1:11" ht="15" thickBot="1" x14ac:dyDescent="0.25">
      <c r="A68" s="51"/>
      <c r="B68" s="61" t="s">
        <v>37</v>
      </c>
      <c r="C68" s="87">
        <f>SUMIFS(C57:C67,$F$57:$F$67,"&lt;&gt;")</f>
        <v>536399.99283</v>
      </c>
      <c r="D68" s="87">
        <f>SUMIFS(D57:D67,$F$57:$F$67,"&lt;&gt;")</f>
        <v>95190.16</v>
      </c>
      <c r="E68" s="88">
        <f>SUMIFS(E57:E67,$F$57:$F$67,"&lt;&gt;")</f>
        <v>631590.15283000004</v>
      </c>
      <c r="F68" s="39"/>
      <c r="G68" s="38"/>
      <c r="H68" s="38"/>
    </row>
    <row r="69" spans="1:11" ht="27" customHeight="1" x14ac:dyDescent="0.2">
      <c r="A69" s="123" t="s">
        <v>91</v>
      </c>
      <c r="B69" s="124"/>
      <c r="C69" s="124"/>
      <c r="D69" s="124"/>
      <c r="E69" s="125"/>
      <c r="F69" s="39"/>
      <c r="G69" s="38"/>
      <c r="H69" s="38"/>
    </row>
    <row r="70" spans="1:11" x14ac:dyDescent="0.2">
      <c r="A70" s="34" t="s">
        <v>23</v>
      </c>
      <c r="B70" s="23" t="s">
        <v>92</v>
      </c>
      <c r="C70" s="75">
        <v>0</v>
      </c>
      <c r="D70" s="77">
        <f>0.19*C70</f>
        <v>0</v>
      </c>
      <c r="E70" s="78">
        <f>C70*1.19</f>
        <v>0</v>
      </c>
      <c r="F70" s="39" t="s">
        <v>29</v>
      </c>
      <c r="G70" s="38" t="s">
        <v>106</v>
      </c>
      <c r="H70" s="38" t="s">
        <v>106</v>
      </c>
    </row>
    <row r="71" spans="1:11" x14ac:dyDescent="0.2">
      <c r="A71" s="34" t="s">
        <v>24</v>
      </c>
      <c r="B71" s="23" t="s">
        <v>50</v>
      </c>
      <c r="C71" s="75">
        <v>0</v>
      </c>
      <c r="D71" s="77">
        <f>ROUND(0.19*C71,2)</f>
        <v>0</v>
      </c>
      <c r="E71" s="78">
        <f>D71+C71</f>
        <v>0</v>
      </c>
      <c r="F71" s="39" t="s">
        <v>30</v>
      </c>
      <c r="G71" s="38" t="s">
        <v>106</v>
      </c>
      <c r="H71" s="38" t="s">
        <v>106</v>
      </c>
    </row>
    <row r="72" spans="1:11" ht="13.15" customHeight="1" thickBot="1" x14ac:dyDescent="0.25">
      <c r="A72" s="51"/>
      <c r="B72" s="58" t="s">
        <v>38</v>
      </c>
      <c r="C72" s="87">
        <f>SUMIFS(C70:C71,$F$70:$F$71,"&lt;&gt;")</f>
        <v>0</v>
      </c>
      <c r="D72" s="87">
        <f>SUMIFS(D70:D71,$F$70:$F$71,"&lt;&gt;")</f>
        <v>0</v>
      </c>
      <c r="E72" s="88">
        <f>SUMIFS(E70:E71,$F$70:$F$71,"&lt;&gt;")</f>
        <v>0</v>
      </c>
      <c r="F72" s="39"/>
      <c r="G72" s="38"/>
    </row>
    <row r="73" spans="1:11" ht="21" customHeight="1" thickBot="1" x14ac:dyDescent="0.25">
      <c r="A73" s="89"/>
      <c r="B73" s="90" t="s">
        <v>32</v>
      </c>
      <c r="C73" s="105">
        <f>SUMIFS(C12:C72,$F$12:$F$72,"&lt;&gt;")</f>
        <v>2943719.2328299996</v>
      </c>
      <c r="D73" s="105">
        <f>SUMIFS(D12:D72,$F$12:$F$72,"&lt;&gt;")-0.01</f>
        <v>552580.80999999994</v>
      </c>
      <c r="E73" s="106">
        <f>SUMIFS(E12:E72,$F$12:$F$72,"&lt;&gt;")</f>
        <v>3496300.0428300002</v>
      </c>
      <c r="F73" s="39"/>
      <c r="G73" s="38"/>
    </row>
    <row r="74" spans="1:11" ht="23.45" customHeight="1" thickBot="1" x14ac:dyDescent="0.25">
      <c r="A74" s="91"/>
      <c r="B74" s="92" t="s">
        <v>93</v>
      </c>
      <c r="C74" s="105">
        <f>SUMIFS(C12:C72,$H$12:$H$72,"da")</f>
        <v>2212446.23</v>
      </c>
      <c r="D74" s="105">
        <f>SUMIFS(D12:D72,$H$12:$H$72,"da")-0.01</f>
        <v>420364.78</v>
      </c>
      <c r="E74" s="106">
        <f>SUMIFS(E12:E72,$H$12:$H$72,"da")</f>
        <v>2632811.0100000002</v>
      </c>
      <c r="F74" s="39"/>
      <c r="G74" s="38"/>
    </row>
    <row r="75" spans="1:11" x14ac:dyDescent="0.2">
      <c r="A75" s="52"/>
      <c r="B75" s="53"/>
      <c r="C75" s="54"/>
      <c r="D75" s="54"/>
      <c r="E75" s="54"/>
      <c r="F75" s="3"/>
    </row>
    <row r="76" spans="1:11" x14ac:dyDescent="0.2">
      <c r="A76" s="52"/>
      <c r="B76" s="53"/>
      <c r="C76" s="54"/>
      <c r="D76" s="54"/>
      <c r="E76" s="54"/>
      <c r="F76" s="3"/>
    </row>
    <row r="77" spans="1:11" ht="15.75" x14ac:dyDescent="0.2">
      <c r="A77" s="52"/>
      <c r="B77" s="93" t="s">
        <v>99</v>
      </c>
      <c r="C77" s="94">
        <f>C78+C79</f>
        <v>3496300.0428299997</v>
      </c>
      <c r="D77" s="54"/>
      <c r="E77" s="54"/>
      <c r="F77" s="3"/>
    </row>
    <row r="78" spans="1:11" ht="21" customHeight="1" x14ac:dyDescent="0.2">
      <c r="A78" s="52"/>
      <c r="B78" s="95" t="s">
        <v>30</v>
      </c>
      <c r="C78" s="96">
        <f>SUMIFS(E12:E71,F12:F71,"=buget de stat")</f>
        <v>3260813.7305299998</v>
      </c>
      <c r="D78" s="54"/>
      <c r="E78" s="54"/>
      <c r="F78" s="3"/>
    </row>
    <row r="79" spans="1:11" ht="21" customHeight="1" x14ac:dyDescent="0.2">
      <c r="A79" s="52"/>
      <c r="B79" s="95" t="s">
        <v>29</v>
      </c>
      <c r="C79" s="97">
        <f>SUMIFS(E12:E71,F12:F71,"=buget local")</f>
        <v>235486.31229999999</v>
      </c>
      <c r="D79" s="54"/>
      <c r="E79" s="54"/>
      <c r="F79" s="3"/>
      <c r="K79" s="112"/>
    </row>
    <row r="80" spans="1:11" x14ac:dyDescent="0.2">
      <c r="A80" s="6"/>
      <c r="B80" s="12"/>
      <c r="C80" s="12"/>
      <c r="D80" s="2"/>
      <c r="E80" s="2"/>
      <c r="F80" s="3"/>
    </row>
    <row r="81" spans="1:6" ht="31.5" x14ac:dyDescent="0.2">
      <c r="A81" s="6"/>
      <c r="B81" s="108" t="s">
        <v>115</v>
      </c>
      <c r="C81" s="109" t="s">
        <v>109</v>
      </c>
      <c r="D81" s="109" t="s">
        <v>110</v>
      </c>
      <c r="E81" s="99"/>
      <c r="F81" s="100"/>
    </row>
    <row r="82" spans="1:6" ht="15.75" x14ac:dyDescent="0.2">
      <c r="A82" s="6"/>
      <c r="B82" s="95" t="s">
        <v>111</v>
      </c>
      <c r="C82" s="96">
        <f>SUMIFS(C37:C54,G37:G54,"=da")</f>
        <v>0</v>
      </c>
      <c r="D82" s="96">
        <f>SUMIFS(C37:C54,G37:G54,"=nu")</f>
        <v>2041410.96</v>
      </c>
      <c r="E82" s="99"/>
      <c r="F82" s="100"/>
    </row>
    <row r="83" spans="1:6" ht="15.75" x14ac:dyDescent="0.2">
      <c r="A83" s="6"/>
      <c r="B83" s="95" t="s">
        <v>112</v>
      </c>
      <c r="C83" s="96">
        <f>(SUMIFS(C37:C54,G37:G54,"=da")/((SUMIFS(C37:C54,G37:G54,"=da")+(SUMIFS(C37:C54,G37:G54,"=nu")))))*((SUMIFS(C12:C71,G12:G71,"=da")+(SUMIFS(C12:C71,G12:G71,"=nu"))))</f>
        <v>0</v>
      </c>
      <c r="D83" s="96">
        <f>(SUMIFS(C37:C54,G37:G54,"=nu")/((SUMIFS(C37:C54,G37:G54,"=da")+(SUMIFS(C37:C54,G37:G54,"=nu")))))*((SUMIFS(C12:C71,G12:G71,"=da")+(SUMIFS(C12:C71,G12:G71,"=nu"))))</f>
        <v>2943719.2328300001</v>
      </c>
      <c r="E83" s="99"/>
      <c r="F83" s="100"/>
    </row>
    <row r="84" spans="1:6" ht="15.75" x14ac:dyDescent="0.2">
      <c r="A84" s="6"/>
      <c r="B84" s="95" t="s">
        <v>116</v>
      </c>
      <c r="C84" s="96">
        <f>C83/C89</f>
        <v>0</v>
      </c>
      <c r="D84" s="96">
        <f>D83/C89</f>
        <v>24530993.60691667</v>
      </c>
      <c r="E84" s="99"/>
      <c r="F84" s="100"/>
    </row>
    <row r="85" spans="1:6" ht="15.75" x14ac:dyDescent="0.2">
      <c r="A85" s="6"/>
      <c r="B85" s="95" t="s">
        <v>114</v>
      </c>
      <c r="C85" s="96">
        <f>C83/C89/C88</f>
        <v>0</v>
      </c>
      <c r="D85" s="96">
        <f>D83/C89/C88</f>
        <v>4957859.6186092421</v>
      </c>
      <c r="E85" s="99"/>
      <c r="F85" s="100"/>
    </row>
    <row r="86" spans="1:6" ht="15.75" x14ac:dyDescent="0.2">
      <c r="A86" s="6"/>
      <c r="D86" s="98"/>
      <c r="E86" s="98"/>
      <c r="F86" s="101"/>
    </row>
    <row r="87" spans="1:6" ht="15.75" x14ac:dyDescent="0.2">
      <c r="A87" s="7"/>
      <c r="B87" s="95" t="s">
        <v>107</v>
      </c>
      <c r="C87" s="115" t="s">
        <v>123</v>
      </c>
      <c r="D87" s="102"/>
      <c r="E87" s="102"/>
      <c r="F87" s="101"/>
    </row>
    <row r="88" spans="1:6" ht="15.75" x14ac:dyDescent="0.2">
      <c r="A88" s="13"/>
      <c r="B88" s="95" t="s">
        <v>108</v>
      </c>
      <c r="C88" s="107">
        <v>4.9478999999999997</v>
      </c>
      <c r="D88" s="98"/>
      <c r="E88" s="98"/>
      <c r="F88" s="101"/>
    </row>
    <row r="89" spans="1:6" ht="47.25" x14ac:dyDescent="0.2">
      <c r="A89" s="13"/>
      <c r="B89" s="113" t="s">
        <v>118</v>
      </c>
      <c r="C89" s="107">
        <v>0.12</v>
      </c>
      <c r="D89" s="103"/>
      <c r="E89" s="103"/>
      <c r="F89" s="101"/>
    </row>
    <row r="90" spans="1:6" ht="15.75" hidden="1" x14ac:dyDescent="0.2">
      <c r="A90" s="13"/>
      <c r="C90" s="99"/>
      <c r="D90" s="99"/>
      <c r="E90" s="99"/>
    </row>
    <row r="91" spans="1:6" x14ac:dyDescent="0.2">
      <c r="A91" s="13"/>
      <c r="B91" s="14"/>
      <c r="C91" s="15"/>
      <c r="D91" s="16"/>
      <c r="E91" s="16"/>
    </row>
    <row r="92" spans="1:6" ht="15.75" x14ac:dyDescent="0.2">
      <c r="A92" s="18"/>
      <c r="B92" s="118"/>
      <c r="C92" s="15"/>
      <c r="D92" s="114" t="s">
        <v>33</v>
      </c>
      <c r="E92" s="104"/>
    </row>
    <row r="93" spans="1:6" x14ac:dyDescent="0.2">
      <c r="A93" s="17"/>
      <c r="B93" s="17"/>
      <c r="C93" s="17"/>
      <c r="D93" s="17"/>
      <c r="E93" s="17"/>
    </row>
    <row r="94" spans="1:6" ht="15.75" x14ac:dyDescent="0.2">
      <c r="A94" s="17"/>
      <c r="B94" s="17"/>
      <c r="C94" s="17"/>
      <c r="D94" s="134" t="s">
        <v>120</v>
      </c>
      <c r="E94" s="134"/>
    </row>
    <row r="95" spans="1:6" ht="15.75" x14ac:dyDescent="0.2">
      <c r="A95" s="17"/>
      <c r="B95" s="17"/>
      <c r="C95" s="17"/>
      <c r="D95" s="134" t="s">
        <v>121</v>
      </c>
      <c r="E95" s="134"/>
    </row>
    <row r="96" spans="1:6" ht="0.75" customHeight="1" x14ac:dyDescent="0.2">
      <c r="A96" s="17"/>
    </row>
    <row r="97" spans="1:6" ht="51" customHeight="1" x14ac:dyDescent="0.2">
      <c r="A97" s="17"/>
      <c r="B97" s="120" t="s">
        <v>127</v>
      </c>
      <c r="C97" s="120"/>
      <c r="D97" s="120"/>
      <c r="E97" s="120"/>
      <c r="F97" s="119"/>
    </row>
    <row r="98" spans="1:6" x14ac:dyDescent="0.2">
      <c r="A98" s="17"/>
      <c r="B98" s="120"/>
      <c r="C98" s="120"/>
      <c r="D98" s="120"/>
      <c r="E98" s="120"/>
    </row>
    <row r="99" spans="1:6" ht="15.75" x14ac:dyDescent="0.2">
      <c r="A99" s="17"/>
      <c r="B99" s="116" t="s">
        <v>25</v>
      </c>
      <c r="C99" s="17"/>
      <c r="D99" s="17"/>
      <c r="E99" s="17"/>
    </row>
    <row r="100" spans="1:6" ht="15.75" x14ac:dyDescent="0.2">
      <c r="A100" s="17"/>
      <c r="B100" s="117" t="s">
        <v>124</v>
      </c>
      <c r="C100" s="17"/>
      <c r="D100" s="17"/>
      <c r="E100" s="17"/>
    </row>
    <row r="101" spans="1:6" ht="15.75" x14ac:dyDescent="0.2">
      <c r="B101" s="117" t="s">
        <v>125</v>
      </c>
    </row>
    <row r="102" spans="1:6" x14ac:dyDescent="0.2">
      <c r="B102" s="4" t="s">
        <v>126</v>
      </c>
    </row>
  </sheetData>
  <mergeCells count="19">
    <mergeCell ref="C1:E1"/>
    <mergeCell ref="D94:E94"/>
    <mergeCell ref="D95:E95"/>
    <mergeCell ref="A3:E3"/>
    <mergeCell ref="A7:A9"/>
    <mergeCell ref="B7:B9"/>
    <mergeCell ref="C7:E7"/>
    <mergeCell ref="A4:E4"/>
    <mergeCell ref="B97:E98"/>
    <mergeCell ref="H7:H9"/>
    <mergeCell ref="F6:H6"/>
    <mergeCell ref="A69:E69"/>
    <mergeCell ref="A36:E36"/>
    <mergeCell ref="A56:E56"/>
    <mergeCell ref="A17:E17"/>
    <mergeCell ref="F7:F9"/>
    <mergeCell ref="G7:G9"/>
    <mergeCell ref="A20:E20"/>
    <mergeCell ref="A11:E11"/>
  </mergeCells>
  <phoneticPr fontId="0" type="noConversion"/>
  <dataValidations count="1">
    <dataValidation type="list" allowBlank="1" showInputMessage="1" showErrorMessage="1" sqref="G53:H54 G50:H51 G18:H18 G21:H24 G26:H34 G38:H39 G41:H42 G44:H45 G47:H48 G70:H71 G12:H15 G58:H67" xr:uid="{00000000-0002-0000-0000-000001000000}">
      <formula1>"da,nu"</formula1>
    </dataValidation>
  </dataValidations>
  <printOptions horizontalCentered="1"/>
  <pageMargins left="0.78740157480314965" right="0.19685039370078741" top="0.39370078740157483" bottom="0.39370078740157483" header="0.19685039370078741" footer="0.19685039370078741"/>
  <pageSetup paperSize="9" scale="93" fitToHeight="2" orientation="portrait" r:id="rId1"/>
  <headerFooter alignWithMargins="0"/>
  <ignoredErrors>
    <ignoredError sqref="A26:A31 A58:A59 A61:A63 A64:A65" twoDigitTextYear="1"/>
    <ignoredError sqref="D25:E25 D40" formula="1"/>
    <ignoredError sqref="C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DG </vt:lpstr>
      <vt:lpstr>Data</vt:lpstr>
      <vt:lpstr>'DG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2021-09-15T18:53:38Z</dcterms:created>
  <dcterms:modified xsi:type="dcterms:W3CDTF">2022-10-24T10:17:40Z</dcterms:modified>
</cp:coreProperties>
</file>