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exandru.bota\Desktop\PH 2023\decembrie 2023\4. DJ 194B\"/>
    </mc:Choice>
  </mc:AlternateContent>
  <xr:revisionPtr revIDLastSave="0" documentId="13_ncr:1_{2B25F271-A79E-4151-8CF4-3EB5E09C826E}" xr6:coauthVersionLast="47" xr6:coauthVersionMax="47" xr10:uidLastSave="{00000000-0000-0000-0000-000000000000}"/>
  <bookViews>
    <workbookView xWindow="-120" yWindow="-120" windowWidth="29040" windowHeight="15840" tabRatio="690" xr2:uid="{00000000-000D-0000-FFFF-FFFF00000000}"/>
  </bookViews>
  <sheets>
    <sheet name="Deviz General" sheetId="1" r:id="rId1"/>
  </sheets>
  <externalReferences>
    <externalReference r:id="rId2"/>
  </externalReferences>
  <definedNames>
    <definedName name="_xlnm.Print_Area" localSheetId="0">'Deviz General'!$A$1:$E$115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5" i="1" l="1"/>
  <c r="C57" i="1"/>
  <c r="C48" i="1" l="1"/>
  <c r="C49" i="1" s="1"/>
  <c r="F38" i="1"/>
  <c r="F29" i="1"/>
  <c r="C47" i="1" l="1"/>
  <c r="D108" i="1" l="1"/>
  <c r="D61" i="1" l="1"/>
  <c r="D60" i="1"/>
  <c r="E59" i="1"/>
  <c r="C59" i="1"/>
  <c r="D64" i="1"/>
  <c r="D63" i="1"/>
  <c r="E62" i="1"/>
  <c r="C62" i="1"/>
  <c r="D67" i="1"/>
  <c r="D66" i="1"/>
  <c r="E65" i="1"/>
  <c r="C65" i="1"/>
  <c r="D70" i="1"/>
  <c r="D69" i="1"/>
  <c r="E68" i="1"/>
  <c r="C68" i="1"/>
  <c r="E71" i="1"/>
  <c r="C71" i="1"/>
  <c r="D73" i="1"/>
  <c r="D71" i="1" s="1"/>
  <c r="D72" i="1"/>
  <c r="D59" i="1" l="1"/>
  <c r="D68" i="1"/>
  <c r="D65" i="1"/>
  <c r="D62" i="1"/>
  <c r="C29" i="1" l="1"/>
  <c r="D29" i="1" s="1"/>
  <c r="E29" i="1" s="1"/>
  <c r="H34" i="1"/>
  <c r="G2" i="1"/>
  <c r="C30" i="1"/>
  <c r="D30" i="1" s="1"/>
  <c r="E30" i="1" s="1"/>
  <c r="C31" i="1"/>
  <c r="D31" i="1" s="1"/>
  <c r="E31" i="1" s="1"/>
  <c r="C32" i="1"/>
  <c r="D32" i="1" s="1"/>
  <c r="E32" i="1" s="1"/>
  <c r="C33" i="1"/>
  <c r="C36" i="1"/>
  <c r="D36" i="1" s="1"/>
  <c r="E36" i="1" s="1"/>
  <c r="C37" i="1"/>
  <c r="D37" i="1" s="1"/>
  <c r="C38" i="1"/>
  <c r="D38" i="1" s="1"/>
  <c r="E38" i="1" s="1"/>
  <c r="C39" i="1"/>
  <c r="D39" i="1" s="1"/>
  <c r="E39" i="1" s="1"/>
  <c r="C44" i="1"/>
  <c r="D44" i="1" s="1"/>
  <c r="E44" i="1" s="1"/>
  <c r="C45" i="1"/>
  <c r="D45" i="1" s="1"/>
  <c r="E45" i="1" s="1"/>
  <c r="C86" i="1"/>
  <c r="C34" i="1"/>
  <c r="D34" i="1" s="1"/>
  <c r="C24" i="1"/>
  <c r="C91" i="1"/>
  <c r="D20" i="1"/>
  <c r="D21" i="1"/>
  <c r="E21" i="1" s="1"/>
  <c r="D22" i="1"/>
  <c r="E22" i="1" s="1"/>
  <c r="D26" i="1"/>
  <c r="D89" i="1"/>
  <c r="D90" i="1"/>
  <c r="E90" i="1" s="1"/>
  <c r="E80" i="1"/>
  <c r="A79" i="1"/>
  <c r="A85" i="1" s="1"/>
  <c r="A59" i="1"/>
  <c r="A62" i="1" s="1"/>
  <c r="A32" i="1"/>
  <c r="A33" i="1" s="1"/>
  <c r="A21" i="1"/>
  <c r="A22" i="1" s="1"/>
  <c r="E26" i="1"/>
  <c r="E20" i="1"/>
  <c r="A65" i="1" l="1"/>
  <c r="E34" i="1"/>
  <c r="D23" i="1"/>
  <c r="E23" i="1" s="1"/>
  <c r="D33" i="1"/>
  <c r="E33" i="1" s="1"/>
  <c r="E37" i="1"/>
  <c r="D86" i="1"/>
  <c r="E86" i="1" s="1"/>
  <c r="A23" i="1"/>
  <c r="A86" i="1"/>
  <c r="A34" i="1"/>
  <c r="D91" i="1"/>
  <c r="E91" i="1" s="1"/>
  <c r="C43" i="1"/>
  <c r="C28" i="1"/>
  <c r="A68" i="1" l="1"/>
  <c r="D24" i="1"/>
  <c r="E24" i="1" s="1"/>
  <c r="D43" i="1"/>
  <c r="E43" i="1" s="1"/>
  <c r="D28" i="1"/>
  <c r="E28" i="1" s="1"/>
  <c r="A35" i="1"/>
  <c r="A71" i="1" l="1"/>
  <c r="A42" i="1"/>
  <c r="A43" i="1" l="1"/>
  <c r="A46" i="1" l="1"/>
  <c r="D57" i="1" l="1"/>
  <c r="E57" i="1" s="1"/>
  <c r="C56" i="1" l="1"/>
  <c r="D55" i="1"/>
  <c r="C54" i="1"/>
  <c r="D58" i="1" l="1"/>
  <c r="D56" i="1" s="1"/>
  <c r="C53" i="1"/>
  <c r="C101" i="1"/>
  <c r="E55" i="1"/>
  <c r="E54" i="1" s="1"/>
  <c r="D54" i="1"/>
  <c r="D53" i="1" l="1"/>
  <c r="D74" i="1" s="1"/>
  <c r="E58" i="1"/>
  <c r="E56" i="1" s="1"/>
  <c r="E53" i="1" s="1"/>
  <c r="C103" i="1"/>
  <c r="C104" i="1" s="1"/>
  <c r="C74" i="1"/>
  <c r="C77" i="1" s="1"/>
  <c r="D101" i="1"/>
  <c r="D103" i="1" s="1"/>
  <c r="D104" i="1" s="1"/>
  <c r="E74" i="1" l="1"/>
  <c r="C41" i="1"/>
  <c r="D77" i="1" l="1"/>
  <c r="E77" i="1" s="1"/>
  <c r="C78" i="1"/>
  <c r="D78" i="1" s="1"/>
  <c r="E78" i="1" s="1"/>
  <c r="C76" i="1" l="1"/>
  <c r="D76" i="1" s="1"/>
  <c r="E76" i="1"/>
  <c r="D93" i="1"/>
  <c r="C93" i="1"/>
  <c r="C50" i="1" l="1"/>
  <c r="C42" i="1"/>
  <c r="C83" i="1"/>
  <c r="E83" i="1" s="1"/>
  <c r="C84" i="1"/>
  <c r="C82" i="1"/>
  <c r="E82" i="1" s="1"/>
  <c r="C81" i="1"/>
  <c r="E93" i="1"/>
  <c r="D42" i="1" l="1"/>
  <c r="E42" i="1" s="1"/>
  <c r="D41" i="1"/>
  <c r="E41" i="1" s="1"/>
  <c r="C40" i="1"/>
  <c r="C79" i="1"/>
  <c r="E81" i="1"/>
  <c r="D84" i="1"/>
  <c r="D79" i="1" s="1"/>
  <c r="D50" i="1"/>
  <c r="E50" i="1" s="1"/>
  <c r="E84" i="1" l="1"/>
  <c r="E79" i="1" s="1"/>
  <c r="D40" i="1"/>
  <c r="E40" i="1" s="1"/>
  <c r="C35" i="1"/>
  <c r="D48" i="1"/>
  <c r="E48" i="1" s="1"/>
  <c r="D35" i="1" l="1"/>
  <c r="E35" i="1" l="1"/>
  <c r="D47" i="1" l="1"/>
  <c r="E47" i="1" s="1"/>
  <c r="D49" i="1"/>
  <c r="C46" i="1" l="1"/>
  <c r="E49" i="1"/>
  <c r="C51" i="1" l="1"/>
  <c r="D46" i="1"/>
  <c r="D51" i="1" s="1"/>
  <c r="E46" i="1" l="1"/>
  <c r="C85" i="1"/>
  <c r="E51" i="1" l="1"/>
  <c r="C87" i="1"/>
  <c r="C92" i="1" s="1"/>
  <c r="D85" i="1"/>
  <c r="D87" i="1" s="1"/>
  <c r="D92" i="1" s="1"/>
  <c r="E92" i="1" l="1"/>
  <c r="C102" i="1"/>
  <c r="E85" i="1"/>
  <c r="E87" i="1" s="1"/>
  <c r="E95" i="1" l="1"/>
  <c r="E96" i="1" s="1"/>
</calcChain>
</file>

<file path=xl/sharedStrings.xml><?xml version="1.0" encoding="utf-8"?>
<sst xmlns="http://schemas.openxmlformats.org/spreadsheetml/2006/main" count="128" uniqueCount="114">
  <si>
    <t>SC CIPROCONSTRUCT SRL</t>
  </si>
  <si>
    <t>al obiectivului de investitii</t>
  </si>
  <si>
    <t>Nr.
Crt.</t>
  </si>
  <si>
    <t xml:space="preserve">DENUMIREA CAPITOLELOR SI SUBCAPITOLELOR DE CHELTUIELI   </t>
  </si>
  <si>
    <t>Valoare (fara TVA)</t>
  </si>
  <si>
    <t>TVA</t>
  </si>
  <si>
    <t>Valoare (inclusiv TVA)</t>
  </si>
  <si>
    <t>crt.</t>
  </si>
  <si>
    <t>CAPITOL 1 - Cheltuieli pentru obţinerea şi amenajarea terenului</t>
  </si>
  <si>
    <t>Obţinerea terenului</t>
  </si>
  <si>
    <t xml:space="preserve">Amenajarea terenului </t>
  </si>
  <si>
    <t>Amenajări pentru protecţia mediului si aducerea terenului la starea initiala</t>
  </si>
  <si>
    <t>Cheltuieli pentru relocarea/protectia utilitatilor</t>
  </si>
  <si>
    <t>TOTAL CAPITOL 1</t>
  </si>
  <si>
    <t>CAPITOL 2 - Cheltuieli pentru asigurarea utilitatilor necesare obiectivului</t>
  </si>
  <si>
    <t>TOTAL CAPITOL 2</t>
  </si>
  <si>
    <t>CAPITOL 3 - Cheltuieli pentru proiectare şi asistenţă tehnică</t>
  </si>
  <si>
    <t>Studii</t>
  </si>
  <si>
    <t>3.1.1. Studii de teren</t>
  </si>
  <si>
    <t>3.1.2. Raport privind impactul asupra mediului</t>
  </si>
  <si>
    <t>3.1.3. Alte studii specifice</t>
  </si>
  <si>
    <t>Documentatii-suport si cheltuieli pentru obtinerea de avize, acorduri si autorizatii</t>
  </si>
  <si>
    <t>Expertiza tehnica</t>
  </si>
  <si>
    <t>Certificare performantei energetice si auditul energetic al cladirilor</t>
  </si>
  <si>
    <t>Proiectare</t>
  </si>
  <si>
    <t>3.5.1. Tema de proiectare</t>
  </si>
  <si>
    <t>3.5.2. Studiu de prefezabilitate</t>
  </si>
  <si>
    <t>3.5.3. Studiu de fezabilitate/documentatie de avizare a lucrarilor de interventii si deviz general</t>
  </si>
  <si>
    <t>3.5.4. Documentatiile tehnice necesare in vederea obtinerii avizelor/acordurilor/autorizatiilor</t>
  </si>
  <si>
    <t>3.5.5. Verificarea tehnica de calitate a proiectului tehnic si a detaliilor de executie</t>
  </si>
  <si>
    <t>3.5.6. Proiect tehnic si detalii de executie</t>
  </si>
  <si>
    <t xml:space="preserve"> Organizarea procedurilor de achizitie</t>
  </si>
  <si>
    <t xml:space="preserve"> Consultanţă </t>
  </si>
  <si>
    <t>3.7.1. Mnagementul de proiect pentru obiectivul de investitii</t>
  </si>
  <si>
    <t>3.7.2. Auditul financiar</t>
  </si>
  <si>
    <t>Asistenta tehnica</t>
  </si>
  <si>
    <t>3.8.1. Asistenta tehnica din partea proiectantului</t>
  </si>
  <si>
    <t>3.8.1.1. Asistenta tehnica din partea proiectantului pe perioada de executie a lucrarilor</t>
  </si>
  <si>
    <t>3.8.1.2. Asistenta tehnica din partea proiectantului pentru participarea la fazele incluse in programul de control al lucrarilor de executie, avizat de catre Inspetoratul de Stat in Constructii</t>
  </si>
  <si>
    <t>3.8.2. Dirigentie de santier</t>
  </si>
  <si>
    <t>TOTAL CAPITOL 3</t>
  </si>
  <si>
    <t>CAPITOL 4 - Cheltuieli pentru investitia de baza</t>
  </si>
  <si>
    <t xml:space="preserve"> Construcţii si instalatii</t>
  </si>
  <si>
    <t xml:space="preserve"> Montare utilaje, echipamente tehnologice si functionale</t>
  </si>
  <si>
    <t xml:space="preserve"> Utilaje , echipamente tehnologice si functionale care necesita montaj</t>
  </si>
  <si>
    <t xml:space="preserve">Utilaje , echipamente tehnologice si functionale care nu necesita montaj si echipamente de transport </t>
  </si>
  <si>
    <t>Dotări</t>
  </si>
  <si>
    <t>Active necorporale</t>
  </si>
  <si>
    <t>TOTAL CAPITOL 4</t>
  </si>
  <si>
    <t>CAPITOL 5 - Alte cheltuieli</t>
  </si>
  <si>
    <t>Organizare de şantier</t>
  </si>
  <si>
    <t>5.1.1. Lucrari de constructii si instalatii aferente organizarii de santier</t>
  </si>
  <si>
    <t>5.1.2. Cheltuieli conexe organizarii santierului</t>
  </si>
  <si>
    <t>Comisioane, cote, taxe, costul creditului</t>
  </si>
  <si>
    <t>5.2.1. Comisioanele si dobanzile aferente creditului bancii finantatoare</t>
  </si>
  <si>
    <t>5.2.4. Cota aferenta Casei Sociale a Constructorilor - CSC (0.5% din C+M)</t>
  </si>
  <si>
    <t>TOTAL CAPITOL 5</t>
  </si>
  <si>
    <t>CAPITOL 6 - Cheltuieli pentru probe tehnologice si teste</t>
  </si>
  <si>
    <t xml:space="preserve"> Pregătirea personalului de exploatare</t>
  </si>
  <si>
    <t xml:space="preserve"> Probe tehnologice si teste </t>
  </si>
  <si>
    <t>TOTAL CAPITOL 6</t>
  </si>
  <si>
    <t>TOTAL GENERAL</t>
  </si>
  <si>
    <t>DIN CARE C+M</t>
  </si>
  <si>
    <t>Intocmit:</t>
  </si>
  <si>
    <t>Ing. Ciprian Pop</t>
  </si>
  <si>
    <t>……………………………..</t>
  </si>
  <si>
    <t>…………………………………………………….</t>
  </si>
  <si>
    <t>4.1.1.</t>
  </si>
  <si>
    <t>4.1.2.</t>
  </si>
  <si>
    <t>5.2.3. Cota aferenta ISC pentru controlul statului in amenajarea teritoriului, urbanism si pentru autorizarea lucrarilor de constructii (0.5% din C+M)</t>
  </si>
  <si>
    <t>LEI</t>
  </si>
  <si>
    <t>Valori efective</t>
  </si>
  <si>
    <t>Cheltuieli diverse şi neprevăzute(5%)</t>
  </si>
  <si>
    <t>Cheltuieli pentru informare si publicitate(0.1%)</t>
  </si>
  <si>
    <t>5.2.5. Taxe pentru acorduri, avize conforme si autorizatia de construire/desfiintare(0.1%)</t>
  </si>
  <si>
    <t>Curs Euro</t>
  </si>
  <si>
    <t>Data</t>
  </si>
  <si>
    <t>1 EURO=</t>
  </si>
  <si>
    <t>Lei</t>
  </si>
  <si>
    <t>Pentru care exista standard de cost</t>
  </si>
  <si>
    <t>Pentru care nu exista standard de cost</t>
  </si>
  <si>
    <t>4.2.1.</t>
  </si>
  <si>
    <t>4.2.2.</t>
  </si>
  <si>
    <t>4.3.1.</t>
  </si>
  <si>
    <t>4.3.2.</t>
  </si>
  <si>
    <t>4.4.1.</t>
  </si>
  <si>
    <t>4.4.2.</t>
  </si>
  <si>
    <t>4.5.1.</t>
  </si>
  <si>
    <t>4.5.2.</t>
  </si>
  <si>
    <t>4.6.1.</t>
  </si>
  <si>
    <t>4.6.2.</t>
  </si>
  <si>
    <t>Total general (cu TVA) din care:</t>
  </si>
  <si>
    <t>buget de stat</t>
  </si>
  <si>
    <t>buget local</t>
  </si>
  <si>
    <t>Pretul fara TVA</t>
  </si>
  <si>
    <t>Cu standard de cost</t>
  </si>
  <si>
    <t>Fara standard de cost</t>
  </si>
  <si>
    <t>Valoare CAP 4.</t>
  </si>
  <si>
    <t>Valoare investitie</t>
  </si>
  <si>
    <t>Cost unitar aferent investitiei</t>
  </si>
  <si>
    <t>Cost unitar aferent investitiei(EURO)</t>
  </si>
  <si>
    <t>Valoare de referinta pentru determinarea incadrarii in standardul de cost (locuitori beneficiari/locuitori echivalenti beneficiai/km)</t>
  </si>
  <si>
    <t>Amenajare drumuri laterale, podete, siguranta circulatiei si semnalizare rutiera drum</t>
  </si>
  <si>
    <t>Modernizare DJ194B Petea(DN19A)-Atea-Peles-Pelisor-Bercu-Bercu Nou-Micula-Agris-Ciuperceni(DN19)</t>
  </si>
  <si>
    <t>Medernizare drum judetean-parte carosabila</t>
  </si>
  <si>
    <t>Lucrari de constructie si modernizare poduri</t>
  </si>
  <si>
    <t>5.2.2. Cota aferenta ISC pentru controlul calitatii lucrarilor de constructii (0.1% din C+M)</t>
  </si>
  <si>
    <t>DEVIZ GENERAL</t>
  </si>
  <si>
    <t>ANEXA nr.2 La Proiectul de Hotărâre nr.__________________</t>
  </si>
  <si>
    <t>Director executiv</t>
  </si>
  <si>
    <t>Direcția Tehnică</t>
  </si>
  <si>
    <t>PREȘEDINTE,</t>
  </si>
  <si>
    <t>PATAKI CSABA</t>
  </si>
  <si>
    <t>ȘEREȘ IOAN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</si>
</sst>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#,##0.000"/>
    <numFmt numFmtId="165" formatCode="###\ ###\ ###\ ###\ ###"/>
    <numFmt numFmtId="166" formatCode="#,##0.0000"/>
    <numFmt numFmtId="167" formatCode=".\ \ ###\ ;##.0"/>
    <numFmt numFmtId="168" formatCode="0.0000"/>
    <numFmt numFmtId="169" formatCode="[$-409]d\-mmm\-yyyy;@"/>
    <numFmt numFmtId="170" formatCode="###\ ###\ ###\ ##0.00"/>
    <numFmt numFmtId="171" formatCode="###\ ###\ ###.00"/>
    <numFmt numFmtId="172" formatCode="0.0000000"/>
  </numFmts>
  <fonts count="48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22"/>
      <name val="Arial"/>
      <family val="2"/>
    </font>
    <font>
      <sz val="8"/>
      <name val="Arial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2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7" fillId="20" borderId="1" applyNumberFormat="0" applyAlignment="0" applyProtection="0"/>
    <xf numFmtId="0" fontId="18" fillId="21" borderId="2" applyNumberFormat="0" applyAlignment="0" applyProtection="0"/>
    <xf numFmtId="43" fontId="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6" fillId="22" borderId="0" applyNumberFormat="0" applyBorder="0" applyAlignment="0" applyProtection="0"/>
    <xf numFmtId="0" fontId="2" fillId="23" borderId="7" applyNumberFormat="0" applyFont="0" applyAlignment="0" applyProtection="0"/>
    <xf numFmtId="0" fontId="27" fillId="20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43" fontId="10" fillId="0" borderId="0" applyFont="0" applyFill="0" applyBorder="0" applyAlignment="0" applyProtection="0"/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2" fillId="0" borderId="0">
      <alignment vertical="top"/>
    </xf>
    <xf numFmtId="0" fontId="32" fillId="0" borderId="0" applyNumberFormat="0" applyFill="0" applyBorder="0" applyAlignment="0" applyProtection="0"/>
    <xf numFmtId="0" fontId="33" fillId="0" borderId="24" applyNumberFormat="0" applyFill="0" applyAlignment="0" applyProtection="0"/>
    <xf numFmtId="0" fontId="34" fillId="0" borderId="25" applyNumberFormat="0" applyFill="0" applyAlignment="0" applyProtection="0"/>
    <xf numFmtId="0" fontId="35" fillId="0" borderId="26" applyNumberFormat="0" applyFill="0" applyAlignment="0" applyProtection="0"/>
    <xf numFmtId="0" fontId="35" fillId="0" borderId="0" applyNumberFormat="0" applyFill="0" applyBorder="0" applyAlignment="0" applyProtection="0"/>
    <xf numFmtId="0" fontId="36" fillId="25" borderId="0" applyNumberFormat="0" applyBorder="0" applyAlignment="0" applyProtection="0"/>
    <xf numFmtId="0" fontId="37" fillId="26" borderId="0" applyNumberFormat="0" applyBorder="0" applyAlignment="0" applyProtection="0"/>
    <xf numFmtId="0" fontId="38" fillId="27" borderId="0" applyNumberFormat="0" applyBorder="0" applyAlignment="0" applyProtection="0"/>
    <xf numFmtId="0" fontId="39" fillId="28" borderId="27" applyNumberFormat="0" applyAlignment="0" applyProtection="0"/>
    <xf numFmtId="0" fontId="40" fillId="29" borderId="28" applyNumberFormat="0" applyAlignment="0" applyProtection="0"/>
    <xf numFmtId="0" fontId="41" fillId="29" borderId="27" applyNumberFormat="0" applyAlignment="0" applyProtection="0"/>
    <xf numFmtId="0" fontId="42" fillId="0" borderId="29" applyNumberFormat="0" applyFill="0" applyAlignment="0" applyProtection="0"/>
    <xf numFmtId="0" fontId="43" fillId="30" borderId="30" applyNumberFormat="0" applyAlignment="0" applyProtection="0"/>
    <xf numFmtId="0" fontId="44" fillId="0" borderId="0" applyNumberFormat="0" applyFill="0" applyBorder="0" applyAlignment="0" applyProtection="0"/>
    <xf numFmtId="0" fontId="31" fillId="31" borderId="31" applyNumberFormat="0" applyFont="0" applyAlignment="0" applyProtection="0"/>
    <xf numFmtId="0" fontId="45" fillId="0" borderId="0" applyNumberFormat="0" applyFill="0" applyBorder="0" applyAlignment="0" applyProtection="0"/>
    <xf numFmtId="0" fontId="46" fillId="0" borderId="32" applyNumberFormat="0" applyFill="0" applyAlignment="0" applyProtection="0"/>
    <xf numFmtId="0" fontId="47" fillId="32" borderId="0" applyNumberFormat="0" applyBorder="0" applyAlignment="0" applyProtection="0"/>
    <xf numFmtId="0" fontId="31" fillId="33" borderId="0" applyNumberFormat="0" applyBorder="0" applyAlignment="0" applyProtection="0"/>
    <xf numFmtId="0" fontId="31" fillId="34" borderId="0" applyNumberFormat="0" applyBorder="0" applyAlignment="0" applyProtection="0"/>
    <xf numFmtId="0" fontId="47" fillId="35" borderId="0" applyNumberFormat="0" applyBorder="0" applyAlignment="0" applyProtection="0"/>
    <xf numFmtId="0" fontId="47" fillId="36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0" fontId="47" fillId="39" borderId="0" applyNumberFormat="0" applyBorder="0" applyAlignment="0" applyProtection="0"/>
    <xf numFmtId="0" fontId="47" fillId="40" borderId="0" applyNumberFormat="0" applyBorder="0" applyAlignment="0" applyProtection="0"/>
    <xf numFmtId="0" fontId="31" fillId="41" borderId="0" applyNumberFormat="0" applyBorder="0" applyAlignment="0" applyProtection="0"/>
    <xf numFmtId="0" fontId="31" fillId="42" borderId="0" applyNumberFormat="0" applyBorder="0" applyAlignment="0" applyProtection="0"/>
    <xf numFmtId="0" fontId="47" fillId="43" borderId="0" applyNumberFormat="0" applyBorder="0" applyAlignment="0" applyProtection="0"/>
    <xf numFmtId="0" fontId="47" fillId="44" borderId="0" applyNumberFormat="0" applyBorder="0" applyAlignment="0" applyProtection="0"/>
    <xf numFmtId="0" fontId="31" fillId="45" borderId="0" applyNumberFormat="0" applyBorder="0" applyAlignment="0" applyProtection="0"/>
    <xf numFmtId="0" fontId="31" fillId="46" borderId="0" applyNumberFormat="0" applyBorder="0" applyAlignment="0" applyProtection="0"/>
    <xf numFmtId="0" fontId="47" fillId="47" borderId="0" applyNumberFormat="0" applyBorder="0" applyAlignment="0" applyProtection="0"/>
    <xf numFmtId="0" fontId="47" fillId="48" borderId="0" applyNumberFormat="0" applyBorder="0" applyAlignment="0" applyProtection="0"/>
    <xf numFmtId="0" fontId="31" fillId="49" borderId="0" applyNumberFormat="0" applyBorder="0" applyAlignment="0" applyProtection="0"/>
    <xf numFmtId="0" fontId="31" fillId="50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31" fillId="53" borderId="0" applyNumberFormat="0" applyBorder="0" applyAlignment="0" applyProtection="0"/>
    <xf numFmtId="0" fontId="31" fillId="54" borderId="0" applyNumberFormat="0" applyBorder="0" applyAlignment="0" applyProtection="0"/>
    <xf numFmtId="0" fontId="47" fillId="55" borderId="0" applyNumberFormat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/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23" borderId="7" applyNumberFormat="0" applyFont="0" applyAlignment="0" applyProtection="0"/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</cellStyleXfs>
  <cellXfs count="121">
    <xf numFmtId="0" fontId="0" fillId="0" borderId="0" xfId="0"/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166" fontId="5" fillId="0" borderId="0" xfId="0" applyNumberFormat="1" applyFont="1" applyProtection="1">
      <protection locked="0"/>
    </xf>
    <xf numFmtId="0" fontId="9" fillId="0" borderId="0" xfId="0" applyFont="1" applyProtection="1">
      <protection locked="0"/>
    </xf>
    <xf numFmtId="164" fontId="0" fillId="0" borderId="11" xfId="0" applyNumberFormat="1" applyBorder="1" applyProtection="1">
      <protection locked="0"/>
    </xf>
    <xf numFmtId="0" fontId="10" fillId="0" borderId="0" xfId="0" applyFont="1" applyProtection="1">
      <protection locked="0"/>
    </xf>
    <xf numFmtId="0" fontId="12" fillId="0" borderId="0" xfId="0" applyFont="1" applyProtection="1">
      <protection locked="0"/>
    </xf>
    <xf numFmtId="164" fontId="12" fillId="0" borderId="0" xfId="0" applyNumberFormat="1" applyFont="1" applyProtection="1">
      <protection locked="0"/>
    </xf>
    <xf numFmtId="0" fontId="0" fillId="0" borderId="10" xfId="0" applyBorder="1" applyProtection="1">
      <protection locked="0"/>
    </xf>
    <xf numFmtId="164" fontId="7" fillId="0" borderId="16" xfId="0" applyNumberFormat="1" applyFont="1" applyBorder="1" applyProtection="1">
      <protection locked="0"/>
    </xf>
    <xf numFmtId="165" fontId="7" fillId="0" borderId="16" xfId="0" applyNumberFormat="1" applyFont="1" applyBorder="1" applyAlignment="1" applyProtection="1">
      <alignment horizontal="right"/>
      <protection locked="0"/>
    </xf>
    <xf numFmtId="169" fontId="7" fillId="0" borderId="16" xfId="0" applyNumberFormat="1" applyFont="1" applyBorder="1" applyAlignment="1" applyProtection="1">
      <alignment horizontal="right"/>
      <protection locked="0"/>
    </xf>
    <xf numFmtId="0" fontId="0" fillId="24" borderId="0" xfId="0" applyFill="1" applyProtection="1">
      <protection locked="0"/>
    </xf>
    <xf numFmtId="170" fontId="8" fillId="0" borderId="10" xfId="0" applyNumberFormat="1" applyFont="1" applyBorder="1" applyAlignment="1">
      <alignment horizontal="right" vertical="center" wrapText="1"/>
    </xf>
    <xf numFmtId="170" fontId="5" fillId="0" borderId="17" xfId="0" applyNumberFormat="1" applyFont="1" applyBorder="1" applyAlignment="1">
      <alignment horizontal="right" vertical="center" wrapText="1"/>
    </xf>
    <xf numFmtId="168" fontId="0" fillId="0" borderId="0" xfId="0" applyNumberFormat="1" applyProtection="1">
      <protection locked="0"/>
    </xf>
    <xf numFmtId="164" fontId="8" fillId="0" borderId="13" xfId="0" applyNumberFormat="1" applyFont="1" applyBorder="1" applyAlignment="1" applyProtection="1">
      <alignment horizontal="center" vertical="center" wrapText="1"/>
      <protection locked="0"/>
    </xf>
    <xf numFmtId="164" fontId="8" fillId="0" borderId="18" xfId="0" applyNumberFormat="1" applyFont="1" applyBorder="1" applyAlignment="1" applyProtection="1">
      <alignment horizontal="center" vertical="center" wrapText="1"/>
      <protection locked="0"/>
    </xf>
    <xf numFmtId="9" fontId="8" fillId="0" borderId="19" xfId="0" applyNumberFormat="1" applyFont="1" applyBorder="1" applyAlignment="1" applyProtection="1">
      <alignment horizontal="center" vertical="center" wrapText="1"/>
      <protection locked="0"/>
    </xf>
    <xf numFmtId="164" fontId="8" fillId="0" borderId="10" xfId="0" applyNumberFormat="1" applyFont="1" applyBorder="1" applyAlignment="1" applyProtection="1">
      <alignment horizontal="center" vertical="center" wrapText="1"/>
      <protection locked="0"/>
    </xf>
    <xf numFmtId="0" fontId="9" fillId="0" borderId="20" xfId="0" applyFont="1" applyBorder="1" applyAlignment="1" applyProtection="1">
      <alignment horizontal="center"/>
      <protection locked="0"/>
    </xf>
    <xf numFmtId="0" fontId="5" fillId="0" borderId="17" xfId="0" applyFont="1" applyBorder="1" applyAlignment="1" applyProtection="1">
      <alignment horizontal="center"/>
      <protection locked="0"/>
    </xf>
    <xf numFmtId="3" fontId="5" fillId="0" borderId="17" xfId="0" applyNumberFormat="1" applyFont="1" applyBorder="1" applyAlignment="1" applyProtection="1">
      <alignment horizontal="center"/>
      <protection locked="0"/>
    </xf>
    <xf numFmtId="3" fontId="9" fillId="0" borderId="17" xfId="0" applyNumberFormat="1" applyFont="1" applyBorder="1" applyAlignment="1" applyProtection="1">
      <alignment horizontal="center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left" vertical="center"/>
      <protection locked="0"/>
    </xf>
    <xf numFmtId="170" fontId="8" fillId="0" borderId="10" xfId="0" applyNumberFormat="1" applyFont="1" applyBorder="1" applyAlignment="1">
      <alignment horizontal="right" vertical="center"/>
    </xf>
    <xf numFmtId="170" fontId="3" fillId="0" borderId="10" xfId="0" applyNumberFormat="1" applyFont="1" applyBorder="1"/>
    <xf numFmtId="0" fontId="11" fillId="0" borderId="10" xfId="0" applyFont="1" applyBorder="1" applyAlignment="1" applyProtection="1">
      <alignment horizontal="left" vertical="center" wrapText="1"/>
      <protection locked="0"/>
    </xf>
    <xf numFmtId="170" fontId="9" fillId="0" borderId="17" xfId="0" applyNumberFormat="1" applyFont="1" applyBorder="1"/>
    <xf numFmtId="170" fontId="9" fillId="0" borderId="17" xfId="0" applyNumberFormat="1" applyFont="1" applyBorder="1" applyAlignment="1">
      <alignment horizontal="right" vertical="center"/>
    </xf>
    <xf numFmtId="0" fontId="10" fillId="0" borderId="10" xfId="0" applyFont="1" applyBorder="1" applyProtection="1">
      <protection locked="0"/>
    </xf>
    <xf numFmtId="167" fontId="11" fillId="0" borderId="10" xfId="0" applyNumberFormat="1" applyFont="1" applyBorder="1" applyAlignment="1" applyProtection="1">
      <alignment horizontal="left" vertical="center" wrapText="1"/>
      <protection locked="0"/>
    </xf>
    <xf numFmtId="171" fontId="0" fillId="0" borderId="0" xfId="0" applyNumberFormat="1"/>
    <xf numFmtId="166" fontId="0" fillId="0" borderId="10" xfId="0" applyNumberFormat="1" applyBorder="1" applyProtection="1">
      <protection locked="0"/>
    </xf>
    <xf numFmtId="166" fontId="0" fillId="0" borderId="0" xfId="0" applyNumberFormat="1" applyProtection="1">
      <protection locked="0"/>
    </xf>
    <xf numFmtId="170" fontId="0" fillId="0" borderId="0" xfId="0" applyNumberFormat="1" applyProtection="1">
      <protection locked="0"/>
    </xf>
    <xf numFmtId="170" fontId="8" fillId="0" borderId="10" xfId="0" applyNumberFormat="1" applyFont="1" applyBorder="1" applyAlignment="1" applyProtection="1">
      <alignment horizontal="right" vertical="center"/>
      <protection locked="0"/>
    </xf>
    <xf numFmtId="170" fontId="3" fillId="0" borderId="10" xfId="0" applyNumberFormat="1" applyFont="1" applyBorder="1" applyAlignment="1" applyProtection="1">
      <alignment vertical="center"/>
      <protection locked="0"/>
    </xf>
    <xf numFmtId="170" fontId="11" fillId="0" borderId="10" xfId="0" applyNumberFormat="1" applyFont="1" applyBorder="1" applyAlignment="1" applyProtection="1">
      <alignment horizontal="right" vertical="center"/>
      <protection locked="0"/>
    </xf>
    <xf numFmtId="170" fontId="10" fillId="0" borderId="10" xfId="0" applyNumberFormat="1" applyFont="1" applyBorder="1" applyAlignment="1" applyProtection="1">
      <alignment vertical="center"/>
      <protection locked="0"/>
    </xf>
    <xf numFmtId="170" fontId="5" fillId="0" borderId="17" xfId="0" applyNumberFormat="1" applyFont="1" applyBorder="1" applyAlignment="1" applyProtection="1">
      <alignment horizontal="right" vertical="center" wrapText="1"/>
      <protection locked="0"/>
    </xf>
    <xf numFmtId="170" fontId="8" fillId="0" borderId="10" xfId="0" applyNumberFormat="1" applyFont="1" applyBorder="1" applyAlignment="1" applyProtection="1">
      <alignment horizontal="right" vertical="center" wrapText="1"/>
      <protection locked="0"/>
    </xf>
    <xf numFmtId="170" fontId="9" fillId="0" borderId="17" xfId="28" applyNumberFormat="1" applyFont="1" applyFill="1" applyBorder="1" applyAlignment="1" applyProtection="1">
      <protection locked="0"/>
    </xf>
    <xf numFmtId="170" fontId="9" fillId="0" borderId="17" xfId="0" applyNumberFormat="1" applyFont="1" applyBorder="1" applyProtection="1">
      <protection locked="0"/>
    </xf>
    <xf numFmtId="170" fontId="11" fillId="0" borderId="10" xfId="0" applyNumberFormat="1" applyFont="1" applyBorder="1" applyAlignment="1" applyProtection="1">
      <alignment horizontal="right" vertical="center" wrapText="1"/>
      <protection locked="0"/>
    </xf>
    <xf numFmtId="170" fontId="10" fillId="0" borderId="10" xfId="0" applyNumberFormat="1" applyFont="1" applyBorder="1" applyProtection="1">
      <protection locked="0"/>
    </xf>
    <xf numFmtId="170" fontId="3" fillId="0" borderId="10" xfId="0" applyNumberFormat="1" applyFont="1" applyBorder="1" applyProtection="1">
      <protection locked="0"/>
    </xf>
    <xf numFmtId="170" fontId="11" fillId="0" borderId="10" xfId="28" applyNumberFormat="1" applyFont="1" applyFill="1" applyBorder="1" applyAlignment="1" applyProtection="1">
      <alignment horizontal="right" vertical="center" wrapText="1"/>
      <protection locked="0"/>
    </xf>
    <xf numFmtId="170" fontId="5" fillId="0" borderId="17" xfId="28" applyNumberFormat="1" applyFont="1" applyFill="1" applyBorder="1" applyAlignment="1" applyProtection="1">
      <alignment horizontal="right" vertical="center"/>
      <protection locked="0" hidden="1"/>
    </xf>
    <xf numFmtId="170" fontId="5" fillId="0" borderId="17" xfId="0" applyNumberFormat="1" applyFont="1" applyBorder="1" applyAlignment="1" applyProtection="1">
      <alignment horizontal="right" vertical="center"/>
      <protection locked="0" hidden="1"/>
    </xf>
    <xf numFmtId="170" fontId="5" fillId="0" borderId="14" xfId="28" applyNumberFormat="1" applyFont="1" applyFill="1" applyBorder="1" applyAlignment="1" applyProtection="1">
      <alignment horizontal="right" vertical="center"/>
      <protection locked="0"/>
    </xf>
    <xf numFmtId="170" fontId="9" fillId="0" borderId="14" xfId="28" applyNumberFormat="1" applyFont="1" applyFill="1" applyBorder="1" applyProtection="1">
      <protection locked="0"/>
    </xf>
    <xf numFmtId="170" fontId="5" fillId="0" borderId="17" xfId="28" applyNumberFormat="1" applyFont="1" applyFill="1" applyBorder="1" applyAlignment="1" applyProtection="1">
      <alignment vertical="center"/>
      <protection locked="0"/>
    </xf>
    <xf numFmtId="171" fontId="0" fillId="0" borderId="0" xfId="0" applyNumberFormat="1" applyProtection="1">
      <protection locked="0"/>
    </xf>
    <xf numFmtId="4" fontId="8" fillId="0" borderId="10" xfId="28" applyNumberFormat="1" applyFont="1" applyFill="1" applyBorder="1" applyAlignment="1" applyProtection="1">
      <alignment horizontal="right" vertical="center" wrapText="1"/>
      <protection locked="0"/>
    </xf>
    <xf numFmtId="4" fontId="11" fillId="0" borderId="10" xfId="28" applyNumberFormat="1" applyFont="1" applyFill="1" applyBorder="1" applyAlignment="1" applyProtection="1">
      <alignment horizontal="right" vertical="center" wrapText="1"/>
      <protection locked="0"/>
    </xf>
    <xf numFmtId="169" fontId="0" fillId="0" borderId="0" xfId="0" applyNumberFormat="1" applyProtection="1">
      <protection locked="0"/>
    </xf>
    <xf numFmtId="0" fontId="0" fillId="0" borderId="0" xfId="0" applyAlignment="1" applyProtection="1">
      <alignment horizontal="right"/>
      <protection locked="0"/>
    </xf>
    <xf numFmtId="2" fontId="0" fillId="0" borderId="0" xfId="0" applyNumberFormat="1" applyProtection="1">
      <protection locked="0"/>
    </xf>
    <xf numFmtId="170" fontId="9" fillId="0" borderId="0" xfId="28" applyNumberFormat="1" applyFont="1" applyFill="1" applyBorder="1" applyAlignment="1" applyProtection="1">
      <protection locked="0"/>
    </xf>
    <xf numFmtId="170" fontId="5" fillId="0" borderId="0" xfId="28" applyNumberFormat="1" applyFont="1" applyFill="1" applyBorder="1" applyAlignment="1" applyProtection="1">
      <alignment vertical="center"/>
      <protection locked="0"/>
    </xf>
    <xf numFmtId="167" fontId="5" fillId="0" borderId="0" xfId="0" applyNumberFormat="1" applyFont="1" applyAlignment="1" applyProtection="1">
      <alignment horizontal="left" vertical="center" wrapText="1"/>
      <protection locked="0"/>
    </xf>
    <xf numFmtId="0" fontId="10" fillId="0" borderId="0" xfId="137"/>
    <xf numFmtId="164" fontId="10" fillId="0" borderId="0" xfId="137" applyNumberFormat="1" applyProtection="1">
      <protection locked="0"/>
    </xf>
    <xf numFmtId="164" fontId="5" fillId="0" borderId="0" xfId="137" applyNumberFormat="1" applyFont="1" applyAlignment="1" applyProtection="1">
      <alignment vertical="center" wrapText="1"/>
      <protection locked="0"/>
    </xf>
    <xf numFmtId="0" fontId="5" fillId="0" borderId="0" xfId="137" applyFont="1" applyAlignment="1" applyProtection="1">
      <alignment vertical="center" wrapText="1"/>
      <protection locked="0"/>
    </xf>
    <xf numFmtId="167" fontId="5" fillId="0" borderId="0" xfId="137" applyNumberFormat="1" applyFont="1" applyAlignment="1" applyProtection="1">
      <alignment horizontal="left" vertical="center" wrapText="1"/>
      <protection locked="0"/>
    </xf>
    <xf numFmtId="170" fontId="5" fillId="0" borderId="0" xfId="56" applyNumberFormat="1" applyFont="1" applyFill="1" applyBorder="1" applyAlignment="1" applyProtection="1">
      <alignment vertical="center"/>
    </xf>
    <xf numFmtId="170" fontId="9" fillId="0" borderId="0" xfId="56" applyNumberFormat="1" applyFont="1" applyFill="1" applyBorder="1" applyAlignment="1" applyProtection="1"/>
    <xf numFmtId="0" fontId="3" fillId="0" borderId="10" xfId="137" applyFont="1" applyBorder="1" applyProtection="1">
      <protection locked="0"/>
    </xf>
    <xf numFmtId="170" fontId="3" fillId="0" borderId="10" xfId="137" applyNumberFormat="1" applyFont="1" applyBorder="1" applyProtection="1">
      <protection locked="0"/>
    </xf>
    <xf numFmtId="0" fontId="3" fillId="0" borderId="10" xfId="137" applyFont="1" applyBorder="1" applyAlignment="1" applyProtection="1">
      <alignment horizontal="center"/>
      <protection locked="0"/>
    </xf>
    <xf numFmtId="0" fontId="3" fillId="0" borderId="10" xfId="137" applyFont="1" applyBorder="1" applyAlignment="1" applyProtection="1">
      <alignment horizontal="center" wrapText="1"/>
      <protection locked="0"/>
    </xf>
    <xf numFmtId="0" fontId="3" fillId="0" borderId="10" xfId="137" applyFont="1" applyBorder="1" applyAlignment="1" applyProtection="1">
      <alignment horizontal="right"/>
      <protection locked="0"/>
    </xf>
    <xf numFmtId="169" fontId="7" fillId="0" borderId="0" xfId="137" applyNumberFormat="1" applyFont="1" applyProtection="1">
      <protection locked="0"/>
    </xf>
    <xf numFmtId="166" fontId="3" fillId="0" borderId="10" xfId="137" applyNumberFormat="1" applyFont="1" applyBorder="1" applyProtection="1">
      <protection locked="0"/>
    </xf>
    <xf numFmtId="169" fontId="7" fillId="0" borderId="10" xfId="137" applyNumberFormat="1" applyFont="1" applyBorder="1" applyProtection="1">
      <protection locked="0"/>
    </xf>
    <xf numFmtId="2" fontId="0" fillId="0" borderId="10" xfId="0" applyNumberFormat="1" applyBorder="1" applyProtection="1">
      <protection locked="0"/>
    </xf>
    <xf numFmtId="0" fontId="2" fillId="0" borderId="10" xfId="0" applyFont="1" applyBorder="1" applyAlignment="1">
      <alignment wrapText="1"/>
    </xf>
    <xf numFmtId="4" fontId="3" fillId="0" borderId="10" xfId="137" applyNumberFormat="1" applyFont="1" applyBorder="1" applyProtection="1">
      <protection locked="0"/>
    </xf>
    <xf numFmtId="172" fontId="0" fillId="0" borderId="0" xfId="0" applyNumberFormat="1" applyProtection="1">
      <protection locked="0"/>
    </xf>
    <xf numFmtId="164" fontId="3" fillId="0" borderId="0" xfId="137" applyNumberFormat="1" applyFont="1" applyProtection="1">
      <protection locked="0"/>
    </xf>
    <xf numFmtId="167" fontId="5" fillId="0" borderId="20" xfId="0" applyNumberFormat="1" applyFont="1" applyBorder="1" applyAlignment="1" applyProtection="1">
      <alignment horizontal="left" vertical="center" wrapText="1"/>
      <protection locked="0"/>
    </xf>
    <xf numFmtId="167" fontId="5" fillId="0" borderId="17" xfId="0" applyNumberFormat="1" applyFont="1" applyBorder="1" applyAlignment="1" applyProtection="1">
      <alignment horizontal="left" vertical="center" wrapText="1"/>
      <protection locked="0"/>
    </xf>
    <xf numFmtId="0" fontId="5" fillId="0" borderId="0" xfId="137" applyFont="1" applyAlignment="1" applyProtection="1">
      <alignment horizontal="left" vertical="center" wrapText="1"/>
      <protection locked="0"/>
    </xf>
    <xf numFmtId="0" fontId="10" fillId="0" borderId="0" xfId="137" applyAlignment="1" applyProtection="1">
      <alignment horizontal="center"/>
      <protection locked="0"/>
    </xf>
    <xf numFmtId="0" fontId="3" fillId="0" borderId="10" xfId="137" applyFont="1" applyBorder="1" applyAlignment="1" applyProtection="1">
      <alignment horizontal="right"/>
      <protection locked="0"/>
    </xf>
    <xf numFmtId="164" fontId="3" fillId="0" borderId="22" xfId="137" applyNumberFormat="1" applyFont="1" applyBorder="1" applyAlignment="1" applyProtection="1">
      <alignment horizontal="right" wrapText="1"/>
      <protection locked="0"/>
    </xf>
    <xf numFmtId="164" fontId="3" fillId="0" borderId="21" xfId="137" applyNumberFormat="1" applyFont="1" applyBorder="1" applyAlignment="1" applyProtection="1">
      <alignment horizontal="right" wrapText="1"/>
      <protection locked="0"/>
    </xf>
    <xf numFmtId="164" fontId="3" fillId="0" borderId="10" xfId="137" applyNumberFormat="1" applyFont="1" applyBorder="1" applyAlignment="1" applyProtection="1">
      <alignment horizontal="right"/>
      <protection locked="0"/>
    </xf>
    <xf numFmtId="170" fontId="3" fillId="0" borderId="22" xfId="137" applyNumberFormat="1" applyFont="1" applyBorder="1" applyAlignment="1" applyProtection="1">
      <alignment horizontal="center"/>
      <protection locked="0"/>
    </xf>
    <xf numFmtId="170" fontId="3" fillId="0" borderId="21" xfId="137" applyNumberFormat="1" applyFont="1" applyBorder="1" applyAlignment="1" applyProtection="1">
      <alignment horizontal="center"/>
      <protection locked="0"/>
    </xf>
    <xf numFmtId="167" fontId="5" fillId="0" borderId="20" xfId="0" applyNumberFormat="1" applyFont="1" applyBorder="1" applyAlignment="1" applyProtection="1">
      <alignment horizontal="left" vertical="center" wrapText="1" indent="1"/>
      <protection locked="0"/>
    </xf>
    <xf numFmtId="167" fontId="5" fillId="0" borderId="17" xfId="0" applyNumberFormat="1" applyFont="1" applyBorder="1" applyAlignment="1" applyProtection="1">
      <alignment horizontal="left" vertical="center" wrapText="1" indent="1"/>
      <protection locked="0"/>
    </xf>
    <xf numFmtId="167" fontId="5" fillId="0" borderId="23" xfId="0" applyNumberFormat="1" applyFont="1" applyBorder="1" applyAlignment="1" applyProtection="1">
      <alignment horizontal="left" vertical="center" wrapText="1"/>
      <protection locked="0"/>
    </xf>
    <xf numFmtId="167" fontId="5" fillId="0" borderId="14" xfId="0" applyNumberFormat="1" applyFont="1" applyBorder="1" applyAlignment="1" applyProtection="1">
      <alignment horizontal="left" vertical="center" wrapText="1"/>
      <protection locked="0"/>
    </xf>
    <xf numFmtId="167" fontId="5" fillId="0" borderId="20" xfId="0" applyNumberFormat="1" applyFont="1" applyBorder="1" applyAlignment="1" applyProtection="1">
      <alignment vertical="center" wrapText="1"/>
      <protection locked="0"/>
    </xf>
    <xf numFmtId="167" fontId="5" fillId="0" borderId="17" xfId="0" applyNumberFormat="1" applyFont="1" applyBorder="1" applyAlignment="1" applyProtection="1">
      <alignment vertical="center" wrapText="1"/>
      <protection locked="0"/>
    </xf>
    <xf numFmtId="0" fontId="5" fillId="0" borderId="23" xfId="0" applyFont="1" applyBorder="1" applyAlignment="1" applyProtection="1">
      <alignment horizontal="left" vertical="center" wrapText="1"/>
      <protection locked="0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10" fillId="0" borderId="15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left" vertical="center" wrapText="1" indent="1"/>
      <protection locked="0"/>
    </xf>
    <xf numFmtId="0" fontId="5" fillId="0" borderId="17" xfId="0" applyFont="1" applyBorder="1" applyAlignment="1" applyProtection="1">
      <alignment horizontal="left" vertical="center" wrapText="1" indent="1"/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49" fontId="5" fillId="0" borderId="23" xfId="0" applyNumberFormat="1" applyFont="1" applyBorder="1" applyAlignment="1" applyProtection="1">
      <alignment horizontal="center" vertical="center" wrapText="1"/>
      <protection locked="0"/>
    </xf>
    <xf numFmtId="49" fontId="5" fillId="0" borderId="12" xfId="0" applyNumberFormat="1" applyFont="1" applyBorder="1" applyAlignment="1" applyProtection="1">
      <alignment horizontal="center" vertical="center" wrapText="1"/>
      <protection locked="0"/>
    </xf>
    <xf numFmtId="49" fontId="5" fillId="0" borderId="15" xfId="0" applyNumberFormat="1" applyFont="1" applyBorder="1" applyAlignment="1" applyProtection="1">
      <alignment horizontal="center" vertical="center" wrapText="1"/>
      <protection locked="0"/>
    </xf>
    <xf numFmtId="49" fontId="5" fillId="0" borderId="14" xfId="0" applyNumberFormat="1" applyFont="1" applyBorder="1" applyAlignment="1" applyProtection="1">
      <alignment horizontal="center" vertical="center" wrapText="1"/>
      <protection locked="0"/>
    </xf>
    <xf numFmtId="49" fontId="5" fillId="0" borderId="18" xfId="0" applyNumberFormat="1" applyFont="1" applyBorder="1" applyAlignment="1" applyProtection="1">
      <alignment horizontal="center" vertical="center" wrapText="1"/>
      <protection locked="0"/>
    </xf>
    <xf numFmtId="49" fontId="5" fillId="0" borderId="10" xfId="0" applyNumberFormat="1" applyFont="1" applyBorder="1" applyAlignment="1" applyProtection="1">
      <alignment horizontal="center" vertical="center" wrapText="1"/>
      <protection locked="0"/>
    </xf>
    <xf numFmtId="164" fontId="8" fillId="0" borderId="14" xfId="0" applyNumberFormat="1" applyFont="1" applyBorder="1" applyAlignment="1" applyProtection="1">
      <alignment horizontal="center" vertical="center" wrapText="1"/>
      <protection locked="0"/>
    </xf>
    <xf numFmtId="164" fontId="8" fillId="0" borderId="18" xfId="0" applyNumberFormat="1" applyFont="1" applyBorder="1" applyAlignment="1" applyProtection="1">
      <alignment horizontal="center" vertical="center" wrapText="1"/>
      <protection locked="0"/>
    </xf>
    <xf numFmtId="164" fontId="8" fillId="0" borderId="10" xfId="0" applyNumberFormat="1" applyFont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</cellXfs>
  <cellStyles count="172">
    <cellStyle name="20% - Accent1" xfId="1" builtinId="30" customBuiltin="1"/>
    <cellStyle name="20% - Accent1 2" xfId="79" xr:uid="{00000000-0005-0000-0000-000001000000}"/>
    <cellStyle name="20% - Accent2" xfId="2" builtinId="34" customBuiltin="1"/>
    <cellStyle name="20% - Accent2 2" xfId="83" xr:uid="{00000000-0005-0000-0000-000003000000}"/>
    <cellStyle name="20% - Accent3" xfId="3" builtinId="38" customBuiltin="1"/>
    <cellStyle name="20% - Accent3 2" xfId="87" xr:uid="{00000000-0005-0000-0000-000005000000}"/>
    <cellStyle name="20% - Accent4" xfId="4" builtinId="42" customBuiltin="1"/>
    <cellStyle name="20% - Accent4 2" xfId="91" xr:uid="{00000000-0005-0000-0000-000007000000}"/>
    <cellStyle name="20% - Accent5" xfId="5" builtinId="46" customBuiltin="1"/>
    <cellStyle name="20% - Accent5 2" xfId="95" xr:uid="{00000000-0005-0000-0000-000009000000}"/>
    <cellStyle name="20% - Accent6" xfId="6" builtinId="50" customBuiltin="1"/>
    <cellStyle name="20% - Accent6 2" xfId="99" xr:uid="{00000000-0005-0000-0000-00000B000000}"/>
    <cellStyle name="40% - Accent1" xfId="7" builtinId="31" customBuiltin="1"/>
    <cellStyle name="40% - Accent1 2" xfId="80" xr:uid="{00000000-0005-0000-0000-00000D000000}"/>
    <cellStyle name="40% - Accent2" xfId="8" builtinId="35" customBuiltin="1"/>
    <cellStyle name="40% - Accent2 2" xfId="84" xr:uid="{00000000-0005-0000-0000-00000F000000}"/>
    <cellStyle name="40% - Accent3" xfId="9" builtinId="39" customBuiltin="1"/>
    <cellStyle name="40% - Accent3 2" xfId="88" xr:uid="{00000000-0005-0000-0000-000011000000}"/>
    <cellStyle name="40% - Accent4" xfId="10" builtinId="43" customBuiltin="1"/>
    <cellStyle name="40% - Accent4 2" xfId="92" xr:uid="{00000000-0005-0000-0000-000013000000}"/>
    <cellStyle name="40% - Accent5" xfId="11" builtinId="47" customBuiltin="1"/>
    <cellStyle name="40% - Accent5 2" xfId="96" xr:uid="{00000000-0005-0000-0000-000015000000}"/>
    <cellStyle name="40% - Accent6" xfId="12" builtinId="51" customBuiltin="1"/>
    <cellStyle name="40% - Accent6 2" xfId="100" xr:uid="{00000000-0005-0000-0000-000017000000}"/>
    <cellStyle name="60% - Accent1" xfId="13" builtinId="32" customBuiltin="1"/>
    <cellStyle name="60% - Accent1 2" xfId="81" xr:uid="{00000000-0005-0000-0000-000019000000}"/>
    <cellStyle name="60% - Accent2" xfId="14" builtinId="36" customBuiltin="1"/>
    <cellStyle name="60% - Accent2 2" xfId="85" xr:uid="{00000000-0005-0000-0000-00001B000000}"/>
    <cellStyle name="60% - Accent3" xfId="15" builtinId="40" customBuiltin="1"/>
    <cellStyle name="60% - Accent3 2" xfId="89" xr:uid="{00000000-0005-0000-0000-00001D000000}"/>
    <cellStyle name="60% - Accent4" xfId="16" builtinId="44" customBuiltin="1"/>
    <cellStyle name="60% - Accent4 2" xfId="93" xr:uid="{00000000-0005-0000-0000-00001F000000}"/>
    <cellStyle name="60% - Accent5" xfId="17" builtinId="48" customBuiltin="1"/>
    <cellStyle name="60% - Accent5 2" xfId="97" xr:uid="{00000000-0005-0000-0000-000021000000}"/>
    <cellStyle name="60% - Accent6" xfId="18" builtinId="52" customBuiltin="1"/>
    <cellStyle name="60% - Accent6 2" xfId="101" xr:uid="{00000000-0005-0000-0000-000023000000}"/>
    <cellStyle name="Accent1" xfId="19" builtinId="29" customBuiltin="1"/>
    <cellStyle name="Accent1 2" xfId="78" xr:uid="{00000000-0005-0000-0000-000025000000}"/>
    <cellStyle name="Accent2" xfId="20" builtinId="33" customBuiltin="1"/>
    <cellStyle name="Accent2 2" xfId="82" xr:uid="{00000000-0005-0000-0000-000027000000}"/>
    <cellStyle name="Accent3" xfId="21" builtinId="37" customBuiltin="1"/>
    <cellStyle name="Accent3 2" xfId="86" xr:uid="{00000000-0005-0000-0000-000029000000}"/>
    <cellStyle name="Accent4" xfId="22" builtinId="41" customBuiltin="1"/>
    <cellStyle name="Accent4 2" xfId="90" xr:uid="{00000000-0005-0000-0000-00002B000000}"/>
    <cellStyle name="Accent5" xfId="23" builtinId="45" customBuiltin="1"/>
    <cellStyle name="Accent5 2" xfId="94" xr:uid="{00000000-0005-0000-0000-00002D000000}"/>
    <cellStyle name="Accent6" xfId="24" builtinId="49" customBuiltin="1"/>
    <cellStyle name="Accent6 2" xfId="98" xr:uid="{00000000-0005-0000-0000-00002F000000}"/>
    <cellStyle name="Bad" xfId="25" builtinId="27" customBuiltin="1"/>
    <cellStyle name="Bad 2" xfId="67" xr:uid="{00000000-0005-0000-0000-000031000000}"/>
    <cellStyle name="Calculation" xfId="26" builtinId="22" customBuiltin="1"/>
    <cellStyle name="Calculation 2" xfId="71" xr:uid="{00000000-0005-0000-0000-000033000000}"/>
    <cellStyle name="Check Cell" xfId="27" builtinId="23" customBuiltin="1"/>
    <cellStyle name="Check Cell 2" xfId="73" xr:uid="{00000000-0005-0000-0000-000035000000}"/>
    <cellStyle name="Comma" xfId="28" builtinId="3"/>
    <cellStyle name="Comma 2" xfId="56" xr:uid="{00000000-0005-0000-0000-000037000000}"/>
    <cellStyle name="Explanatory Text" xfId="29" builtinId="53" customBuiltin="1"/>
    <cellStyle name="Explanatory Text 2" xfId="76" xr:uid="{00000000-0005-0000-0000-000039000000}"/>
    <cellStyle name="Good" xfId="30" builtinId="26" customBuiltin="1"/>
    <cellStyle name="Good 2" xfId="66" xr:uid="{00000000-0005-0000-0000-00003B000000}"/>
    <cellStyle name="Heading 1" xfId="31" builtinId="16" customBuiltin="1"/>
    <cellStyle name="Heading 1 2" xfId="62" xr:uid="{00000000-0005-0000-0000-00003D000000}"/>
    <cellStyle name="Heading 2" xfId="32" builtinId="17" customBuiltin="1"/>
    <cellStyle name="Heading 2 2" xfId="63" xr:uid="{00000000-0005-0000-0000-00003F000000}"/>
    <cellStyle name="Heading 3" xfId="33" builtinId="18" customBuiltin="1"/>
    <cellStyle name="Heading 3 2" xfId="64" xr:uid="{00000000-0005-0000-0000-000041000000}"/>
    <cellStyle name="Heading 4" xfId="34" builtinId="19" customBuiltin="1"/>
    <cellStyle name="Heading 4 2" xfId="65" xr:uid="{00000000-0005-0000-0000-000043000000}"/>
    <cellStyle name="Input" xfId="35" builtinId="20" customBuiltin="1"/>
    <cellStyle name="Input 2" xfId="69" xr:uid="{00000000-0005-0000-0000-000045000000}"/>
    <cellStyle name="Linked Cell" xfId="36" builtinId="24" customBuiltin="1"/>
    <cellStyle name="Linked Cell 2" xfId="72" xr:uid="{00000000-0005-0000-0000-000047000000}"/>
    <cellStyle name="Neutral" xfId="37" builtinId="28" customBuiltin="1"/>
    <cellStyle name="Neutral 2" xfId="68" xr:uid="{00000000-0005-0000-0000-000049000000}"/>
    <cellStyle name="Normal" xfId="0" builtinId="0"/>
    <cellStyle name="Normal 10" xfId="108" xr:uid="{00000000-0005-0000-0000-00004B000000}"/>
    <cellStyle name="Normal 10 2" xfId="150" xr:uid="{00000000-0005-0000-0000-00004C000000}"/>
    <cellStyle name="Normal 10_Sheet1" xfId="168" xr:uid="{00000000-0005-0000-0000-00004D000000}"/>
    <cellStyle name="Normal 11" xfId="105" xr:uid="{00000000-0005-0000-0000-00004E000000}"/>
    <cellStyle name="Normal 11 2" xfId="156" xr:uid="{00000000-0005-0000-0000-00004F000000}"/>
    <cellStyle name="Normal 11_Sheet1" xfId="46" xr:uid="{00000000-0005-0000-0000-000050000000}"/>
    <cellStyle name="Normal 12" xfId="107" xr:uid="{00000000-0005-0000-0000-000051000000}"/>
    <cellStyle name="Normal 12 2" xfId="152" xr:uid="{00000000-0005-0000-0000-000052000000}"/>
    <cellStyle name="Normal 12_Sheet1" xfId="155" xr:uid="{00000000-0005-0000-0000-000053000000}"/>
    <cellStyle name="Normal 13" xfId="109" xr:uid="{00000000-0005-0000-0000-000054000000}"/>
    <cellStyle name="Normal 13 2" xfId="153" xr:uid="{00000000-0005-0000-0000-000055000000}"/>
    <cellStyle name="Normal 13_Sheet1" xfId="141" xr:uid="{00000000-0005-0000-0000-000056000000}"/>
    <cellStyle name="Normal 14" xfId="104" xr:uid="{00000000-0005-0000-0000-000057000000}"/>
    <cellStyle name="Normal 14 2" xfId="54" xr:uid="{00000000-0005-0000-0000-000058000000}"/>
    <cellStyle name="Normal 14_Sheet1" xfId="130" xr:uid="{00000000-0005-0000-0000-000059000000}"/>
    <cellStyle name="Normal 15" xfId="112" xr:uid="{00000000-0005-0000-0000-00005A000000}"/>
    <cellStyle name="Normal 15 2" xfId="57" xr:uid="{00000000-0005-0000-0000-00005B000000}"/>
    <cellStyle name="Normal 15_Sheet1" xfId="171" xr:uid="{00000000-0005-0000-0000-00005C000000}"/>
    <cellStyle name="Normal 16" xfId="114" xr:uid="{00000000-0005-0000-0000-00005D000000}"/>
    <cellStyle name="Normal 16 2" xfId="133" xr:uid="{00000000-0005-0000-0000-00005E000000}"/>
    <cellStyle name="Normal 16_Sheet1" xfId="170" xr:uid="{00000000-0005-0000-0000-00005F000000}"/>
    <cellStyle name="Normal 17" xfId="127" xr:uid="{00000000-0005-0000-0000-000060000000}"/>
    <cellStyle name="Normal 17 2" xfId="139" xr:uid="{00000000-0005-0000-0000-000061000000}"/>
    <cellStyle name="Normal 17_Sheet1" xfId="158" xr:uid="{00000000-0005-0000-0000-000062000000}"/>
    <cellStyle name="Normal 18" xfId="116" xr:uid="{00000000-0005-0000-0000-000063000000}"/>
    <cellStyle name="Normal 18 2" xfId="138" xr:uid="{00000000-0005-0000-0000-000064000000}"/>
    <cellStyle name="Normal 18_Sheet1" xfId="157" xr:uid="{00000000-0005-0000-0000-000065000000}"/>
    <cellStyle name="Normal 19" xfId="126" xr:uid="{00000000-0005-0000-0000-000066000000}"/>
    <cellStyle name="Normal 19 2" xfId="47" xr:uid="{00000000-0005-0000-0000-000067000000}"/>
    <cellStyle name="Normal 19_Sheet1" xfId="169" xr:uid="{00000000-0005-0000-0000-000068000000}"/>
    <cellStyle name="Normal 2" xfId="60" xr:uid="{00000000-0005-0000-0000-000069000000}"/>
    <cellStyle name="Normal 2 2" xfId="134" xr:uid="{00000000-0005-0000-0000-00006A000000}"/>
    <cellStyle name="Normal 2_Sheet1" xfId="147" xr:uid="{00000000-0005-0000-0000-00006B000000}"/>
    <cellStyle name="Normal 20" xfId="120" xr:uid="{00000000-0005-0000-0000-00006C000000}"/>
    <cellStyle name="Normal 20 2" xfId="136" xr:uid="{00000000-0005-0000-0000-00006D000000}"/>
    <cellStyle name="Normal 20_Sheet1" xfId="53" xr:uid="{00000000-0005-0000-0000-00006E000000}"/>
    <cellStyle name="Normal 21" xfId="118" xr:uid="{00000000-0005-0000-0000-00006F000000}"/>
    <cellStyle name="Normal 21 2" xfId="162" xr:uid="{00000000-0005-0000-0000-000070000000}"/>
    <cellStyle name="Normal 21_Sheet1" xfId="51" xr:uid="{00000000-0005-0000-0000-000071000000}"/>
    <cellStyle name="Normal 22" xfId="119" xr:uid="{00000000-0005-0000-0000-000072000000}"/>
    <cellStyle name="Normal 22 2" xfId="45" xr:uid="{00000000-0005-0000-0000-000073000000}"/>
    <cellStyle name="Normal 22_Sheet1" xfId="142" xr:uid="{00000000-0005-0000-0000-000074000000}"/>
    <cellStyle name="Normal 23" xfId="115" xr:uid="{00000000-0005-0000-0000-000075000000}"/>
    <cellStyle name="Normal 23 2" xfId="132" xr:uid="{00000000-0005-0000-0000-000076000000}"/>
    <cellStyle name="Normal 23_Sheet1" xfId="55" xr:uid="{00000000-0005-0000-0000-000077000000}"/>
    <cellStyle name="Normal 24" xfId="124" xr:uid="{00000000-0005-0000-0000-000078000000}"/>
    <cellStyle name="Normal 24 2" xfId="59" xr:uid="{00000000-0005-0000-0000-000079000000}"/>
    <cellStyle name="Normal 24_Sheet1" xfId="58" xr:uid="{00000000-0005-0000-0000-00007A000000}"/>
    <cellStyle name="Normal 25" xfId="113" xr:uid="{00000000-0005-0000-0000-00007B000000}"/>
    <cellStyle name="Normal 25 2" xfId="135" xr:uid="{00000000-0005-0000-0000-00007C000000}"/>
    <cellStyle name="Normal 25_Sheet1" xfId="144" xr:uid="{00000000-0005-0000-0000-00007D000000}"/>
    <cellStyle name="Normal 26" xfId="122" xr:uid="{00000000-0005-0000-0000-00007E000000}"/>
    <cellStyle name="Normal 26 2" xfId="161" xr:uid="{00000000-0005-0000-0000-00007F000000}"/>
    <cellStyle name="Normal 26_Sheet1" xfId="165" xr:uid="{00000000-0005-0000-0000-000080000000}"/>
    <cellStyle name="Normal 27" xfId="128" xr:uid="{00000000-0005-0000-0000-000081000000}"/>
    <cellStyle name="Normal 27 2" xfId="163" xr:uid="{00000000-0005-0000-0000-000082000000}"/>
    <cellStyle name="Normal 27_Sheet1" xfId="149" xr:uid="{00000000-0005-0000-0000-000083000000}"/>
    <cellStyle name="Normal 28" xfId="123" xr:uid="{00000000-0005-0000-0000-000084000000}"/>
    <cellStyle name="Normal 28 2" xfId="48" xr:uid="{00000000-0005-0000-0000-000085000000}"/>
    <cellStyle name="Normal 28_Sheet1" xfId="146" xr:uid="{00000000-0005-0000-0000-000086000000}"/>
    <cellStyle name="Normal 29" xfId="117" xr:uid="{00000000-0005-0000-0000-000087000000}"/>
    <cellStyle name="Normal 29 2" xfId="143" xr:uid="{00000000-0005-0000-0000-000088000000}"/>
    <cellStyle name="Normal 29_Sheet1" xfId="50" xr:uid="{00000000-0005-0000-0000-000089000000}"/>
    <cellStyle name="Normal 3" xfId="102" xr:uid="{00000000-0005-0000-0000-00008A000000}"/>
    <cellStyle name="Normal 3 2" xfId="154" xr:uid="{00000000-0005-0000-0000-00008B000000}"/>
    <cellStyle name="Normal 3_Sheet1" xfId="49" xr:uid="{00000000-0005-0000-0000-00008C000000}"/>
    <cellStyle name="Normal 30" xfId="129" xr:uid="{00000000-0005-0000-0000-00008D000000}"/>
    <cellStyle name="Normal 31" xfId="137" xr:uid="{00000000-0005-0000-0000-00008E000000}"/>
    <cellStyle name="Normal 4" xfId="110" xr:uid="{00000000-0005-0000-0000-00008F000000}"/>
    <cellStyle name="Normal 4 2" xfId="151" xr:uid="{00000000-0005-0000-0000-000090000000}"/>
    <cellStyle name="Normal 4_Sheet1" xfId="159" xr:uid="{00000000-0005-0000-0000-000091000000}"/>
    <cellStyle name="Normal 5" xfId="125" xr:uid="{00000000-0005-0000-0000-000092000000}"/>
    <cellStyle name="Normal 5 2" xfId="52" xr:uid="{00000000-0005-0000-0000-000093000000}"/>
    <cellStyle name="Normal 5_Sheet1" xfId="44" xr:uid="{00000000-0005-0000-0000-000094000000}"/>
    <cellStyle name="Normal 6" xfId="103" xr:uid="{00000000-0005-0000-0000-000095000000}"/>
    <cellStyle name="Normal 6 2" xfId="148" xr:uid="{00000000-0005-0000-0000-000096000000}"/>
    <cellStyle name="Normal 6_Sheet1" xfId="43" xr:uid="{00000000-0005-0000-0000-000097000000}"/>
    <cellStyle name="Normal 7" xfId="111" xr:uid="{00000000-0005-0000-0000-000098000000}"/>
    <cellStyle name="Normal 7 2" xfId="145" xr:uid="{00000000-0005-0000-0000-000099000000}"/>
    <cellStyle name="Normal 7_Sheet1" xfId="164" xr:uid="{00000000-0005-0000-0000-00009A000000}"/>
    <cellStyle name="Normal 8" xfId="121" xr:uid="{00000000-0005-0000-0000-00009B000000}"/>
    <cellStyle name="Normal 8 2" xfId="140" xr:uid="{00000000-0005-0000-0000-00009C000000}"/>
    <cellStyle name="Normal 8_Sheet1" xfId="167" xr:uid="{00000000-0005-0000-0000-00009D000000}"/>
    <cellStyle name="Normal 9" xfId="106" xr:uid="{00000000-0005-0000-0000-00009E000000}"/>
    <cellStyle name="Normal 9 2" xfId="131" xr:uid="{00000000-0005-0000-0000-00009F000000}"/>
    <cellStyle name="Normal 9_Sheet1" xfId="166" xr:uid="{00000000-0005-0000-0000-0000A0000000}"/>
    <cellStyle name="Note" xfId="38" builtinId="10" customBuiltin="1"/>
    <cellStyle name="Note 2" xfId="75" xr:uid="{00000000-0005-0000-0000-0000A3000000}"/>
    <cellStyle name="Note 3" xfId="160" xr:uid="{00000000-0005-0000-0000-0000A4000000}"/>
    <cellStyle name="Output" xfId="39" builtinId="21" customBuiltin="1"/>
    <cellStyle name="Output 2" xfId="70" xr:uid="{00000000-0005-0000-0000-0000A6000000}"/>
    <cellStyle name="Title" xfId="40" builtinId="15" customBuiltin="1"/>
    <cellStyle name="Title 2" xfId="61" xr:uid="{00000000-0005-0000-0000-0000A8000000}"/>
    <cellStyle name="Total" xfId="41" builtinId="25" customBuiltin="1"/>
    <cellStyle name="Total 2" xfId="77" xr:uid="{00000000-0005-0000-0000-0000AA000000}"/>
    <cellStyle name="Warning Text" xfId="42" builtinId="11" customBuiltin="1"/>
    <cellStyle name="Warning Text 2" xfId="74" xr:uid="{00000000-0005-0000-0000-0000A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264794</xdr:colOff>
      <xdr:row>107</xdr:row>
      <xdr:rowOff>154305</xdr:rowOff>
    </xdr:from>
    <xdr:to>
      <xdr:col>4</xdr:col>
      <xdr:colOff>647699</xdr:colOff>
      <xdr:row>114</xdr:row>
      <xdr:rowOff>100965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8094" y="19632930"/>
          <a:ext cx="1468755" cy="1470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lexandru.bota\Desktop\PH%202023\decembrie%202023\4.%20DJ%20194B\Aexa.xlsx" TargetMode="External"/><Relationship Id="rId1" Type="http://schemas.openxmlformats.org/officeDocument/2006/relationships/externalLinkPath" Target="Aex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dicatori T-E"/>
    </sheetNames>
    <sheetDataSet>
      <sheetData sheetId="0">
        <row r="18">
          <cell r="C18">
            <v>24313</v>
          </cell>
        </row>
        <row r="23">
          <cell r="D23">
            <v>11210241.003362266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J119"/>
  <sheetViews>
    <sheetView tabSelected="1" view="pageBreakPreview" zoomScaleNormal="100" zoomScaleSheetLayoutView="100" workbookViewId="0">
      <selection activeCell="D107" sqref="D107"/>
    </sheetView>
  </sheetViews>
  <sheetFormatPr defaultColWidth="9.28515625" defaultRowHeight="12.75" x14ac:dyDescent="0.2"/>
  <cols>
    <col min="1" max="1" width="5.28515625" style="1" bestFit="1" customWidth="1"/>
    <col min="2" max="2" width="85.42578125" style="1" customWidth="1"/>
    <col min="3" max="3" width="19.5703125" style="1" customWidth="1"/>
    <col min="4" max="4" width="16.28515625" style="1" bestFit="1" customWidth="1"/>
    <col min="5" max="5" width="22" style="1" bestFit="1" customWidth="1"/>
    <col min="6" max="6" width="13.7109375" style="1" customWidth="1"/>
    <col min="7" max="7" width="11.42578125" style="1" bestFit="1" customWidth="1"/>
    <col min="8" max="8" width="16.42578125" style="1" bestFit="1" customWidth="1"/>
    <col min="9" max="9" width="12.7109375" style="1" bestFit="1" customWidth="1"/>
    <col min="10" max="16384" width="9.28515625" style="1"/>
  </cols>
  <sheetData>
    <row r="1" spans="1:8" x14ac:dyDescent="0.2">
      <c r="A1" s="106"/>
      <c r="B1" s="106"/>
      <c r="C1" s="2" t="s">
        <v>108</v>
      </c>
      <c r="D1" s="2"/>
      <c r="E1" s="2"/>
      <c r="F1" s="60" t="s">
        <v>75</v>
      </c>
    </row>
    <row r="2" spans="1:8" x14ac:dyDescent="0.2">
      <c r="A2" s="107"/>
      <c r="B2" s="107"/>
      <c r="C2" s="2"/>
      <c r="D2" s="2"/>
      <c r="E2" s="2"/>
      <c r="F2" s="60" t="s">
        <v>76</v>
      </c>
      <c r="G2" s="59">
        <f>C13</f>
        <v>45272</v>
      </c>
    </row>
    <row r="3" spans="1:8" x14ac:dyDescent="0.2">
      <c r="A3" s="108"/>
      <c r="B3" s="108"/>
      <c r="C3" s="2"/>
      <c r="D3" s="2"/>
      <c r="E3" s="2"/>
      <c r="F3" s="60" t="s">
        <v>77</v>
      </c>
      <c r="G3" s="1">
        <v>4.9433999999999996</v>
      </c>
      <c r="H3" s="1" t="s">
        <v>78</v>
      </c>
    </row>
    <row r="4" spans="1:8" x14ac:dyDescent="0.2">
      <c r="A4" s="108"/>
      <c r="B4" s="108"/>
      <c r="C4" s="2"/>
      <c r="D4" s="2"/>
      <c r="E4" s="2"/>
    </row>
    <row r="5" spans="1:8" x14ac:dyDescent="0.2">
      <c r="A5" s="108"/>
      <c r="B5" s="108"/>
      <c r="C5" s="2"/>
      <c r="D5" s="2"/>
      <c r="E5" s="2"/>
    </row>
    <row r="6" spans="1:8" ht="13.5" thickBot="1" x14ac:dyDescent="0.25">
      <c r="A6" s="119"/>
      <c r="B6" s="119"/>
      <c r="C6" s="6"/>
      <c r="D6" s="6"/>
      <c r="E6" s="6"/>
    </row>
    <row r="7" spans="1:8" ht="13.5" thickTop="1" x14ac:dyDescent="0.2">
      <c r="C7" s="2"/>
      <c r="D7" s="2"/>
      <c r="E7" s="2"/>
    </row>
    <row r="8" spans="1:8" x14ac:dyDescent="0.2">
      <c r="C8" s="2"/>
      <c r="D8" s="2"/>
      <c r="E8" s="2"/>
    </row>
    <row r="9" spans="1:8" ht="15.75" x14ac:dyDescent="0.2">
      <c r="A9" s="109" t="s">
        <v>107</v>
      </c>
      <c r="B9" s="109"/>
      <c r="C9" s="109"/>
      <c r="D9" s="109"/>
      <c r="E9" s="109"/>
    </row>
    <row r="10" spans="1:8" x14ac:dyDescent="0.2">
      <c r="A10" s="120" t="s">
        <v>1</v>
      </c>
      <c r="B10" s="120"/>
      <c r="C10" s="120"/>
      <c r="D10" s="120"/>
      <c r="E10" s="120"/>
    </row>
    <row r="11" spans="1:8" ht="49.5" customHeight="1" x14ac:dyDescent="0.2">
      <c r="A11" s="109" t="s">
        <v>103</v>
      </c>
      <c r="B11" s="109"/>
      <c r="C11" s="109"/>
      <c r="D11" s="109"/>
      <c r="E11" s="109"/>
    </row>
    <row r="12" spans="1:8" ht="18" x14ac:dyDescent="0.2">
      <c r="B12" s="3"/>
      <c r="C12" s="3"/>
      <c r="D12" s="3"/>
      <c r="E12" s="3"/>
    </row>
    <row r="13" spans="1:8" ht="16.5" thickBot="1" x14ac:dyDescent="0.3">
      <c r="B13" s="12"/>
      <c r="C13" s="13">
        <v>45272</v>
      </c>
      <c r="D13" s="4"/>
      <c r="E13" s="11"/>
      <c r="F13" s="1" t="s">
        <v>71</v>
      </c>
    </row>
    <row r="14" spans="1:8" x14ac:dyDescent="0.2">
      <c r="A14" s="110" t="s">
        <v>2</v>
      </c>
      <c r="B14" s="113" t="s">
        <v>3</v>
      </c>
      <c r="C14" s="116" t="s">
        <v>4</v>
      </c>
      <c r="D14" s="18" t="s">
        <v>5</v>
      </c>
      <c r="E14" s="116" t="s">
        <v>6</v>
      </c>
      <c r="F14" s="10"/>
    </row>
    <row r="15" spans="1:8" x14ac:dyDescent="0.2">
      <c r="A15" s="111"/>
      <c r="B15" s="114"/>
      <c r="C15" s="117"/>
      <c r="D15" s="20">
        <v>0.19</v>
      </c>
      <c r="E15" s="117"/>
      <c r="F15" s="10"/>
    </row>
    <row r="16" spans="1:8" x14ac:dyDescent="0.2">
      <c r="A16" s="112" t="s">
        <v>7</v>
      </c>
      <c r="B16" s="115"/>
      <c r="C16" s="118"/>
      <c r="D16" s="19"/>
      <c r="E16" s="118"/>
      <c r="F16" s="10"/>
    </row>
    <row r="17" spans="1:8" x14ac:dyDescent="0.2">
      <c r="A17" s="112"/>
      <c r="B17" s="115"/>
      <c r="C17" s="21" t="s">
        <v>70</v>
      </c>
      <c r="D17" s="21" t="s">
        <v>70</v>
      </c>
      <c r="E17" s="21" t="s">
        <v>70</v>
      </c>
      <c r="F17" s="10"/>
    </row>
    <row r="18" spans="1:8" ht="16.5" thickBot="1" x14ac:dyDescent="0.3">
      <c r="A18" s="22">
        <v>1</v>
      </c>
      <c r="B18" s="23">
        <v>2</v>
      </c>
      <c r="C18" s="24">
        <v>3</v>
      </c>
      <c r="D18" s="24">
        <v>4</v>
      </c>
      <c r="E18" s="25">
        <v>5</v>
      </c>
      <c r="F18" s="10"/>
    </row>
    <row r="19" spans="1:8" ht="15.75" x14ac:dyDescent="0.2">
      <c r="A19" s="101" t="s">
        <v>8</v>
      </c>
      <c r="B19" s="102"/>
      <c r="C19" s="102"/>
      <c r="D19" s="102"/>
      <c r="E19" s="102"/>
      <c r="F19" s="10"/>
    </row>
    <row r="20" spans="1:8" x14ac:dyDescent="0.2">
      <c r="A20" s="26">
        <v>1.1000000000000001</v>
      </c>
      <c r="B20" s="27" t="s">
        <v>9</v>
      </c>
      <c r="C20" s="15">
        <v>0</v>
      </c>
      <c r="D20" s="28">
        <f>C20*D$15</f>
        <v>0</v>
      </c>
      <c r="E20" s="29">
        <f>C20+D20</f>
        <v>0</v>
      </c>
      <c r="F20" s="10"/>
    </row>
    <row r="21" spans="1:8" x14ac:dyDescent="0.2">
      <c r="A21" s="26">
        <f>A20+0.1</f>
        <v>1.2000000000000002</v>
      </c>
      <c r="B21" s="27" t="s">
        <v>10</v>
      </c>
      <c r="C21" s="15">
        <v>0</v>
      </c>
      <c r="D21" s="28">
        <f>C21*D$15</f>
        <v>0</v>
      </c>
      <c r="E21" s="29">
        <f>C21+D21</f>
        <v>0</v>
      </c>
      <c r="F21" s="10"/>
    </row>
    <row r="22" spans="1:8" x14ac:dyDescent="0.2">
      <c r="A22" s="26">
        <f>A21+0.1</f>
        <v>1.3000000000000003</v>
      </c>
      <c r="B22" s="30" t="s">
        <v>11</v>
      </c>
      <c r="C22" s="15">
        <v>26250</v>
      </c>
      <c r="D22" s="28">
        <f>C22*D$15</f>
        <v>4987.5</v>
      </c>
      <c r="E22" s="29">
        <f>C22+D22</f>
        <v>31237.5</v>
      </c>
      <c r="F22" s="10"/>
    </row>
    <row r="23" spans="1:8" x14ac:dyDescent="0.2">
      <c r="A23" s="26">
        <f>A22+0.1</f>
        <v>1.4000000000000004</v>
      </c>
      <c r="B23" s="30" t="s">
        <v>12</v>
      </c>
      <c r="C23" s="15">
        <v>1977150</v>
      </c>
      <c r="D23" s="28">
        <f>C23*D$15</f>
        <v>375658.5</v>
      </c>
      <c r="E23" s="29">
        <f>C23+D23</f>
        <v>2352808.5</v>
      </c>
      <c r="F23" s="10"/>
    </row>
    <row r="24" spans="1:8" ht="16.5" thickBot="1" x14ac:dyDescent="0.3">
      <c r="A24" s="104" t="s">
        <v>13</v>
      </c>
      <c r="B24" s="105"/>
      <c r="C24" s="16">
        <f>SUM(C20:C23)</f>
        <v>2003400</v>
      </c>
      <c r="D24" s="16">
        <f>SUM(D20:D23)</f>
        <v>380646</v>
      </c>
      <c r="E24" s="31">
        <f>C24+D24</f>
        <v>2384046</v>
      </c>
      <c r="F24" s="10"/>
    </row>
    <row r="25" spans="1:8" ht="15.75" x14ac:dyDescent="0.2">
      <c r="A25" s="101" t="s">
        <v>14</v>
      </c>
      <c r="B25" s="102"/>
      <c r="C25" s="102"/>
      <c r="D25" s="102"/>
      <c r="E25" s="102"/>
      <c r="F25" s="10"/>
    </row>
    <row r="26" spans="1:8" ht="16.5" thickBot="1" x14ac:dyDescent="0.25">
      <c r="A26" s="104" t="s">
        <v>15</v>
      </c>
      <c r="B26" s="105"/>
      <c r="C26" s="16">
        <v>0</v>
      </c>
      <c r="D26" s="32">
        <f>C26*D$15</f>
        <v>0</v>
      </c>
      <c r="E26" s="32">
        <f>C26+D26</f>
        <v>0</v>
      </c>
      <c r="F26" s="10"/>
    </row>
    <row r="27" spans="1:8" ht="15.75" x14ac:dyDescent="0.2">
      <c r="A27" s="101" t="s">
        <v>16</v>
      </c>
      <c r="B27" s="102"/>
      <c r="C27" s="102"/>
      <c r="D27" s="102"/>
      <c r="E27" s="102"/>
      <c r="F27" s="10"/>
    </row>
    <row r="28" spans="1:8" x14ac:dyDescent="0.2">
      <c r="A28" s="26">
        <v>3.1</v>
      </c>
      <c r="B28" s="33" t="s">
        <v>17</v>
      </c>
      <c r="C28" s="57">
        <f>SUM(C29:C31)</f>
        <v>71775</v>
      </c>
      <c r="D28" s="39">
        <f t="shared" ref="D28:D50" si="0">C28*D$15</f>
        <v>13637.25</v>
      </c>
      <c r="E28" s="40">
        <f t="shared" ref="E28:E50" si="1">C28+D28</f>
        <v>85412.25</v>
      </c>
      <c r="F28" s="10"/>
    </row>
    <row r="29" spans="1:8" x14ac:dyDescent="0.2">
      <c r="A29" s="103"/>
      <c r="B29" s="30" t="s">
        <v>18</v>
      </c>
      <c r="C29" s="58">
        <f>IF(F29&lt;&gt;"",F29,C74*0.03*0.2-C30-C31)</f>
        <v>71775</v>
      </c>
      <c r="D29" s="41">
        <f t="shared" si="0"/>
        <v>13637.25</v>
      </c>
      <c r="E29" s="42">
        <f t="shared" si="1"/>
        <v>85412.25</v>
      </c>
      <c r="F29" s="10">
        <f>78375-F33</f>
        <v>71775</v>
      </c>
    </row>
    <row r="30" spans="1:8" x14ac:dyDescent="0.2">
      <c r="A30" s="103"/>
      <c r="B30" s="30" t="s">
        <v>19</v>
      </c>
      <c r="C30" s="58">
        <f>IF(F30&lt;&gt;"",F30,C74*0.001*0.2)</f>
        <v>0</v>
      </c>
      <c r="D30" s="41">
        <f t="shared" si="0"/>
        <v>0</v>
      </c>
      <c r="E30" s="42">
        <f t="shared" si="1"/>
        <v>0</v>
      </c>
      <c r="F30" s="10">
        <v>0</v>
      </c>
      <c r="H30" s="37"/>
    </row>
    <row r="31" spans="1:8" x14ac:dyDescent="0.2">
      <c r="A31" s="103"/>
      <c r="B31" s="30" t="s">
        <v>20</v>
      </c>
      <c r="C31" s="58">
        <f>IF(F31&lt;&gt;"",F31,C74*0.001*0.2)</f>
        <v>0</v>
      </c>
      <c r="D31" s="41">
        <f t="shared" si="0"/>
        <v>0</v>
      </c>
      <c r="E31" s="42">
        <f t="shared" si="1"/>
        <v>0</v>
      </c>
      <c r="F31" s="10">
        <v>0</v>
      </c>
    </row>
    <row r="32" spans="1:8" x14ac:dyDescent="0.2">
      <c r="A32" s="26">
        <f>A28+0.1</f>
        <v>3.2</v>
      </c>
      <c r="B32" s="34" t="s">
        <v>21</v>
      </c>
      <c r="C32" s="57">
        <f>IF(F32&lt;&gt;"",F32,C74*0.03*0.05)</f>
        <v>10000</v>
      </c>
      <c r="D32" s="39">
        <f t="shared" si="0"/>
        <v>1900</v>
      </c>
      <c r="E32" s="39">
        <f t="shared" si="1"/>
        <v>11900</v>
      </c>
      <c r="F32" s="10">
        <v>10000</v>
      </c>
    </row>
    <row r="33" spans="1:10" x14ac:dyDescent="0.2">
      <c r="A33" s="26">
        <f>A32+0.1</f>
        <v>3.3000000000000003</v>
      </c>
      <c r="B33" s="34" t="s">
        <v>22</v>
      </c>
      <c r="C33" s="57">
        <f>IF(F33&lt;&gt;"",F33,C74*0.03*0.02)</f>
        <v>6600</v>
      </c>
      <c r="D33" s="39">
        <f t="shared" si="0"/>
        <v>1254</v>
      </c>
      <c r="E33" s="40">
        <f t="shared" si="1"/>
        <v>7854</v>
      </c>
      <c r="F33" s="10">
        <v>6600</v>
      </c>
      <c r="H33" s="35"/>
      <c r="I33"/>
      <c r="J33"/>
    </row>
    <row r="34" spans="1:10" x14ac:dyDescent="0.2">
      <c r="A34" s="26">
        <f>A33+0.1</f>
        <v>3.4000000000000004</v>
      </c>
      <c r="B34" s="34" t="s">
        <v>23</v>
      </c>
      <c r="C34" s="57">
        <f>IF(F34&lt;&gt;"",F34,C75*0.03*0.02)</f>
        <v>0</v>
      </c>
      <c r="D34" s="39">
        <f t="shared" si="0"/>
        <v>0</v>
      </c>
      <c r="E34" s="40">
        <f t="shared" si="1"/>
        <v>0</v>
      </c>
      <c r="F34" s="10"/>
      <c r="H34" s="35">
        <f>F29+F32+F33+F38+F39</f>
        <v>130500</v>
      </c>
      <c r="I34" s="35"/>
      <c r="J34"/>
    </row>
    <row r="35" spans="1:10" x14ac:dyDescent="0.2">
      <c r="A35" s="26">
        <f>A34+0.1</f>
        <v>3.5000000000000004</v>
      </c>
      <c r="B35" s="34" t="s">
        <v>24</v>
      </c>
      <c r="C35" s="57">
        <f>SUM(C36:C41)</f>
        <v>496921.30568634614</v>
      </c>
      <c r="D35" s="39">
        <f t="shared" si="0"/>
        <v>94415.048080405773</v>
      </c>
      <c r="E35" s="40">
        <f t="shared" si="1"/>
        <v>591336.35376675194</v>
      </c>
      <c r="F35" s="10"/>
      <c r="H35" s="38"/>
      <c r="I35" s="56"/>
    </row>
    <row r="36" spans="1:10" x14ac:dyDescent="0.2">
      <c r="A36" s="103"/>
      <c r="B36" s="34" t="s">
        <v>25</v>
      </c>
      <c r="C36" s="58">
        <f>IF(F36&lt;&gt;"",F36,C74*0.0015*0.05)</f>
        <v>0</v>
      </c>
      <c r="D36" s="41">
        <f t="shared" si="0"/>
        <v>0</v>
      </c>
      <c r="E36" s="42">
        <f t="shared" si="1"/>
        <v>0</v>
      </c>
      <c r="F36" s="10">
        <v>0</v>
      </c>
    </row>
    <row r="37" spans="1:10" x14ac:dyDescent="0.2">
      <c r="A37" s="103"/>
      <c r="B37" s="34" t="s">
        <v>26</v>
      </c>
      <c r="C37" s="58">
        <f>IF(F37&lt;&gt;"",F37,C74*0.03*0.06)</f>
        <v>0</v>
      </c>
      <c r="D37" s="41">
        <f t="shared" si="0"/>
        <v>0</v>
      </c>
      <c r="E37" s="42">
        <f t="shared" si="1"/>
        <v>0</v>
      </c>
      <c r="F37" s="10">
        <v>0</v>
      </c>
      <c r="G37" s="14"/>
    </row>
    <row r="38" spans="1:10" x14ac:dyDescent="0.2">
      <c r="A38" s="103"/>
      <c r="B38" s="34" t="s">
        <v>27</v>
      </c>
      <c r="C38" s="58">
        <f>IF(F38&lt;&gt;"",F38,C74*0.03*0.3)</f>
        <v>41780</v>
      </c>
      <c r="D38" s="41">
        <f t="shared" si="0"/>
        <v>7938.2</v>
      </c>
      <c r="E38" s="41">
        <f t="shared" si="1"/>
        <v>49718.2</v>
      </c>
      <c r="F38" s="36">
        <f>42125-F39</f>
        <v>41780</v>
      </c>
      <c r="G38" s="14"/>
      <c r="H38" s="61"/>
    </row>
    <row r="39" spans="1:10" x14ac:dyDescent="0.2">
      <c r="A39" s="103"/>
      <c r="B39" s="34" t="s">
        <v>28</v>
      </c>
      <c r="C39" s="58">
        <f>IF(F39&lt;&gt;"",F39,C74*0.03*0.01)</f>
        <v>345</v>
      </c>
      <c r="D39" s="41">
        <f t="shared" si="0"/>
        <v>65.55</v>
      </c>
      <c r="E39" s="41">
        <f t="shared" si="1"/>
        <v>410.55</v>
      </c>
      <c r="F39" s="10">
        <v>345</v>
      </c>
      <c r="G39" s="14"/>
      <c r="H39" s="38"/>
    </row>
    <row r="40" spans="1:10" x14ac:dyDescent="0.2">
      <c r="A40" s="103"/>
      <c r="B40" s="34" t="s">
        <v>29</v>
      </c>
      <c r="C40" s="58">
        <f>IF(F40&lt;&gt;"",F40,C41*0.1)</f>
        <v>41345.118698758743</v>
      </c>
      <c r="D40" s="41">
        <f t="shared" si="0"/>
        <v>7855.5725527641616</v>
      </c>
      <c r="E40" s="41">
        <f t="shared" si="1"/>
        <v>49200.691251522905</v>
      </c>
      <c r="F40" s="10"/>
      <c r="G40" s="14"/>
      <c r="H40" s="35"/>
      <c r="I40" s="56"/>
    </row>
    <row r="41" spans="1:10" x14ac:dyDescent="0.2">
      <c r="A41" s="103"/>
      <c r="B41" s="34" t="s">
        <v>30</v>
      </c>
      <c r="C41" s="58">
        <f>IF(F41&lt;&gt;"",F41,C74*0.015*0.34)</f>
        <v>413451.18698758743</v>
      </c>
      <c r="D41" s="41">
        <f t="shared" si="0"/>
        <v>78555.725527641611</v>
      </c>
      <c r="E41" s="42">
        <f t="shared" si="1"/>
        <v>492006.91251522902</v>
      </c>
      <c r="F41" s="10"/>
      <c r="G41" s="14"/>
    </row>
    <row r="42" spans="1:10" x14ac:dyDescent="0.2">
      <c r="A42" s="26">
        <f>A35+0.1</f>
        <v>3.6000000000000005</v>
      </c>
      <c r="B42" s="34" t="s">
        <v>31</v>
      </c>
      <c r="C42" s="57">
        <f>IF(F42&lt;&gt;"",F42,C74*0.0002)</f>
        <v>16213.772038728921</v>
      </c>
      <c r="D42" s="39">
        <f t="shared" si="0"/>
        <v>3080.6166873584948</v>
      </c>
      <c r="E42" s="40">
        <f t="shared" si="1"/>
        <v>19294.388726087414</v>
      </c>
      <c r="F42" s="10"/>
    </row>
    <row r="43" spans="1:10" x14ac:dyDescent="0.2">
      <c r="A43" s="26">
        <f>A42+0.1</f>
        <v>3.7000000000000006</v>
      </c>
      <c r="B43" s="34" t="s">
        <v>32</v>
      </c>
      <c r="C43" s="57">
        <f>C44+C45</f>
        <v>0</v>
      </c>
      <c r="D43" s="39">
        <f t="shared" si="0"/>
        <v>0</v>
      </c>
      <c r="E43" s="40">
        <f t="shared" si="1"/>
        <v>0</v>
      </c>
      <c r="F43" s="10">
        <v>0</v>
      </c>
    </row>
    <row r="44" spans="1:10" x14ac:dyDescent="0.2">
      <c r="A44" s="103"/>
      <c r="B44" s="34" t="s">
        <v>33</v>
      </c>
      <c r="C44" s="58">
        <f>IF(F44&lt;&gt;"",F44,C74*0.01*0.7)</f>
        <v>0</v>
      </c>
      <c r="D44" s="41">
        <f t="shared" si="0"/>
        <v>0</v>
      </c>
      <c r="E44" s="42">
        <f t="shared" si="1"/>
        <v>0</v>
      </c>
      <c r="F44" s="10">
        <v>0</v>
      </c>
    </row>
    <row r="45" spans="1:10" x14ac:dyDescent="0.2">
      <c r="A45" s="103"/>
      <c r="B45" s="34" t="s">
        <v>34</v>
      </c>
      <c r="C45" s="58">
        <f>IF(F45&lt;&gt;"",F45,C74*0.01*0.3)</f>
        <v>0</v>
      </c>
      <c r="D45" s="41">
        <f t="shared" si="0"/>
        <v>0</v>
      </c>
      <c r="E45" s="42">
        <f t="shared" si="1"/>
        <v>0</v>
      </c>
      <c r="F45" s="10">
        <v>0</v>
      </c>
    </row>
    <row r="46" spans="1:10" x14ac:dyDescent="0.2">
      <c r="A46" s="26">
        <f>A43+0.1</f>
        <v>3.8000000000000007</v>
      </c>
      <c r="B46" s="34" t="s">
        <v>35</v>
      </c>
      <c r="C46" s="57">
        <f>SUM(C47:C50)</f>
        <v>440000</v>
      </c>
      <c r="D46" s="39">
        <f t="shared" si="0"/>
        <v>83600</v>
      </c>
      <c r="E46" s="40">
        <f t="shared" si="1"/>
        <v>523600</v>
      </c>
      <c r="F46" s="10"/>
    </row>
    <row r="47" spans="1:10" x14ac:dyDescent="0.2">
      <c r="A47" s="26"/>
      <c r="B47" s="34" t="s">
        <v>36</v>
      </c>
      <c r="C47" s="58">
        <f>C48+C49</f>
        <v>120000</v>
      </c>
      <c r="D47" s="41">
        <f t="shared" si="0"/>
        <v>22800</v>
      </c>
      <c r="E47" s="42">
        <f t="shared" si="1"/>
        <v>142800</v>
      </c>
      <c r="F47" s="10"/>
    </row>
    <row r="48" spans="1:10" x14ac:dyDescent="0.2">
      <c r="A48" s="26"/>
      <c r="B48" s="34" t="s">
        <v>37</v>
      </c>
      <c r="C48" s="58">
        <f>IF(F48&lt;&gt;"",F48,C47*0.8)</f>
        <v>100000</v>
      </c>
      <c r="D48" s="41">
        <f t="shared" si="0"/>
        <v>19000</v>
      </c>
      <c r="E48" s="41">
        <f t="shared" si="1"/>
        <v>119000</v>
      </c>
      <c r="F48" s="10">
        <v>100000</v>
      </c>
    </row>
    <row r="49" spans="1:8" ht="25.5" x14ac:dyDescent="0.2">
      <c r="A49" s="26"/>
      <c r="B49" s="34" t="s">
        <v>38</v>
      </c>
      <c r="C49" s="58">
        <f>IF(F49&lt;&gt;"",F49,C48*0.8)</f>
        <v>20000</v>
      </c>
      <c r="D49" s="41">
        <f t="shared" si="0"/>
        <v>3800</v>
      </c>
      <c r="E49" s="42">
        <f t="shared" si="1"/>
        <v>23800</v>
      </c>
      <c r="F49" s="10">
        <v>20000</v>
      </c>
    </row>
    <row r="50" spans="1:8" x14ac:dyDescent="0.2">
      <c r="A50" s="26"/>
      <c r="B50" s="34" t="s">
        <v>39</v>
      </c>
      <c r="C50" s="58">
        <f>IF(F50&lt;&gt;"",F50,C74*0.01*0.7)</f>
        <v>200000</v>
      </c>
      <c r="D50" s="41">
        <f t="shared" si="0"/>
        <v>38000</v>
      </c>
      <c r="E50" s="42">
        <f t="shared" si="1"/>
        <v>238000</v>
      </c>
      <c r="F50" s="10">
        <v>200000</v>
      </c>
    </row>
    <row r="51" spans="1:8" ht="16.5" thickBot="1" x14ac:dyDescent="0.25">
      <c r="A51" s="95" t="s">
        <v>40</v>
      </c>
      <c r="B51" s="96"/>
      <c r="C51" s="43">
        <f>C28+C32+C33+C34+C35+C42+C43+C46</f>
        <v>1041510.0777250751</v>
      </c>
      <c r="D51" s="43">
        <f>D28+D32+D33+D34+D35+D42+D43+D46</f>
        <v>197886.91476776428</v>
      </c>
      <c r="E51" s="43">
        <f>E28+E32+E33+E34+E35+E42+E43+E46</f>
        <v>1239396.9924928392</v>
      </c>
      <c r="F51" s="10"/>
    </row>
    <row r="52" spans="1:8" ht="15.75" x14ac:dyDescent="0.2">
      <c r="A52" s="97" t="s">
        <v>41</v>
      </c>
      <c r="B52" s="98"/>
      <c r="C52" s="98"/>
      <c r="D52" s="98"/>
      <c r="E52" s="98"/>
      <c r="F52" s="10"/>
      <c r="H52" s="83"/>
    </row>
    <row r="53" spans="1:8" x14ac:dyDescent="0.2">
      <c r="A53" s="26">
        <v>4.0999999999999996</v>
      </c>
      <c r="B53" s="34" t="s">
        <v>42</v>
      </c>
      <c r="C53" s="40">
        <f>C54+C56</f>
        <v>81068860.193644598</v>
      </c>
      <c r="D53" s="40">
        <f t="shared" ref="D53:E53" si="2">D54+D56</f>
        <v>15403083.436792474</v>
      </c>
      <c r="E53" s="40">
        <f t="shared" si="2"/>
        <v>96471943.630437061</v>
      </c>
      <c r="F53" s="10"/>
    </row>
    <row r="54" spans="1:8" x14ac:dyDescent="0.2">
      <c r="A54" s="26" t="s">
        <v>67</v>
      </c>
      <c r="B54" s="34" t="s">
        <v>79</v>
      </c>
      <c r="C54" s="40">
        <f>C55</f>
        <v>60898443.842677526</v>
      </c>
      <c r="D54" s="40">
        <f t="shared" ref="D54:E54" si="3">D55</f>
        <v>11570704.33010873</v>
      </c>
      <c r="E54" s="40">
        <f t="shared" si="3"/>
        <v>72469148.172786251</v>
      </c>
      <c r="F54" s="10"/>
    </row>
    <row r="55" spans="1:8" x14ac:dyDescent="0.2">
      <c r="A55" s="26"/>
      <c r="B55" s="34" t="s">
        <v>104</v>
      </c>
      <c r="C55" s="58">
        <f>51478073.2516168+'[1]Indicatori T-E'!D23/1.19</f>
        <v>60898443.842677526</v>
      </c>
      <c r="D55" s="41">
        <f>C55*D$15</f>
        <v>11570704.33010873</v>
      </c>
      <c r="E55" s="42">
        <f>C55+D55</f>
        <v>72469148.172786251</v>
      </c>
      <c r="F55" s="10"/>
      <c r="G55" s="1">
        <v>212225.143473</v>
      </c>
    </row>
    <row r="56" spans="1:8" x14ac:dyDescent="0.2">
      <c r="A56" s="26" t="s">
        <v>68</v>
      </c>
      <c r="B56" s="34" t="s">
        <v>80</v>
      </c>
      <c r="C56" s="40">
        <f>SUM(C57:C58)</f>
        <v>20170416.350967072</v>
      </c>
      <c r="D56" s="40">
        <f t="shared" ref="D56:E56" si="4">SUM(D57:D58)</f>
        <v>3832379.1066837437</v>
      </c>
      <c r="E56" s="40">
        <f t="shared" si="4"/>
        <v>24002795.457650814</v>
      </c>
      <c r="F56" s="10"/>
    </row>
    <row r="57" spans="1:8" x14ac:dyDescent="0.2">
      <c r="A57" s="26"/>
      <c r="B57" s="34" t="s">
        <v>102</v>
      </c>
      <c r="C57" s="58">
        <f>28006760.1550278-'[1]Indicatori T-E'!D23/1.19</f>
        <v>18586389.563967071</v>
      </c>
      <c r="D57" s="10">
        <f>C57*0.19</f>
        <v>3531414.0171537437</v>
      </c>
      <c r="E57" s="80">
        <f>C57+D57</f>
        <v>22117803.581120815</v>
      </c>
      <c r="F57" s="10"/>
    </row>
    <row r="58" spans="1:8" x14ac:dyDescent="0.2">
      <c r="A58" s="26"/>
      <c r="B58" s="81" t="s">
        <v>105</v>
      </c>
      <c r="C58" s="58">
        <v>1584026.787</v>
      </c>
      <c r="D58" s="10">
        <f>C58*0.19</f>
        <v>300965.08953</v>
      </c>
      <c r="E58" s="80">
        <f>C58+D58</f>
        <v>1884991.87653</v>
      </c>
      <c r="F58" s="10"/>
    </row>
    <row r="59" spans="1:8" x14ac:dyDescent="0.2">
      <c r="A59" s="26">
        <f>A53+0.1</f>
        <v>4.1999999999999993</v>
      </c>
      <c r="B59" s="34" t="s">
        <v>43</v>
      </c>
      <c r="C59" s="40">
        <f>C60+C61</f>
        <v>0</v>
      </c>
      <c r="D59" s="40">
        <f t="shared" ref="D59" si="5">D60+D61</f>
        <v>0</v>
      </c>
      <c r="E59" s="40">
        <f t="shared" ref="E59" si="6">E60+E61</f>
        <v>0</v>
      </c>
      <c r="F59" s="10"/>
    </row>
    <row r="60" spans="1:8" x14ac:dyDescent="0.2">
      <c r="A60" s="26" t="s">
        <v>81</v>
      </c>
      <c r="B60" s="34" t="s">
        <v>79</v>
      </c>
      <c r="C60" s="47">
        <v>0</v>
      </c>
      <c r="D60" s="41">
        <f t="shared" ref="D60:D61" si="7">C60*D$15</f>
        <v>0</v>
      </c>
      <c r="E60" s="47">
        <v>0</v>
      </c>
      <c r="F60" s="10"/>
    </row>
    <row r="61" spans="1:8" x14ac:dyDescent="0.2">
      <c r="A61" s="26" t="s">
        <v>82</v>
      </c>
      <c r="B61" s="34" t="s">
        <v>80</v>
      </c>
      <c r="C61" s="47">
        <v>0</v>
      </c>
      <c r="D61" s="41">
        <f t="shared" si="7"/>
        <v>0</v>
      </c>
      <c r="E61" s="47">
        <v>0</v>
      </c>
      <c r="F61" s="10"/>
    </row>
    <row r="62" spans="1:8" x14ac:dyDescent="0.2">
      <c r="A62" s="26">
        <f>A59+0.1</f>
        <v>4.2999999999999989</v>
      </c>
      <c r="B62" s="34" t="s">
        <v>44</v>
      </c>
      <c r="C62" s="40">
        <f>C63+C64</f>
        <v>0</v>
      </c>
      <c r="D62" s="40">
        <f t="shared" ref="D62" si="8">D63+D64</f>
        <v>0</v>
      </c>
      <c r="E62" s="40">
        <f t="shared" ref="E62" si="9">E63+E64</f>
        <v>0</v>
      </c>
      <c r="F62" s="10"/>
    </row>
    <row r="63" spans="1:8" x14ac:dyDescent="0.2">
      <c r="A63" s="26" t="s">
        <v>83</v>
      </c>
      <c r="B63" s="34" t="s">
        <v>79</v>
      </c>
      <c r="C63" s="47">
        <v>0</v>
      </c>
      <c r="D63" s="41">
        <f t="shared" ref="D63:D64" si="10">C63*D$15</f>
        <v>0</v>
      </c>
      <c r="E63" s="47">
        <v>0</v>
      </c>
      <c r="F63" s="10"/>
    </row>
    <row r="64" spans="1:8" x14ac:dyDescent="0.2">
      <c r="A64" s="26" t="s">
        <v>84</v>
      </c>
      <c r="B64" s="34" t="s">
        <v>80</v>
      </c>
      <c r="C64" s="47">
        <v>0</v>
      </c>
      <c r="D64" s="41">
        <f t="shared" si="10"/>
        <v>0</v>
      </c>
      <c r="E64" s="47">
        <v>0</v>
      </c>
      <c r="F64" s="10"/>
    </row>
    <row r="65" spans="1:6" ht="25.5" x14ac:dyDescent="0.2">
      <c r="A65" s="26">
        <f>A62+0.1</f>
        <v>4.3999999999999986</v>
      </c>
      <c r="B65" s="34" t="s">
        <v>45</v>
      </c>
      <c r="C65" s="40">
        <f>C66+C67</f>
        <v>0</v>
      </c>
      <c r="D65" s="40">
        <f t="shared" ref="D65" si="11">D66+D67</f>
        <v>0</v>
      </c>
      <c r="E65" s="40">
        <f t="shared" ref="E65" si="12">E66+E67</f>
        <v>0</v>
      </c>
      <c r="F65" s="10"/>
    </row>
    <row r="66" spans="1:6" x14ac:dyDescent="0.2">
      <c r="A66" s="26" t="s">
        <v>85</v>
      </c>
      <c r="B66" s="34" t="s">
        <v>79</v>
      </c>
      <c r="C66" s="47">
        <v>0</v>
      </c>
      <c r="D66" s="41">
        <f t="shared" ref="D66:D67" si="13">C66*D$15</f>
        <v>0</v>
      </c>
      <c r="E66" s="47">
        <v>0</v>
      </c>
      <c r="F66" s="10"/>
    </row>
    <row r="67" spans="1:6" x14ac:dyDescent="0.2">
      <c r="A67" s="26" t="s">
        <v>86</v>
      </c>
      <c r="B67" s="34" t="s">
        <v>80</v>
      </c>
      <c r="C67" s="47">
        <v>0</v>
      </c>
      <c r="D67" s="41">
        <f t="shared" si="13"/>
        <v>0</v>
      </c>
      <c r="E67" s="47">
        <v>0</v>
      </c>
      <c r="F67" s="10"/>
    </row>
    <row r="68" spans="1:6" x14ac:dyDescent="0.2">
      <c r="A68" s="26">
        <f>A65+0.1</f>
        <v>4.4999999999999982</v>
      </c>
      <c r="B68" s="34" t="s">
        <v>46</v>
      </c>
      <c r="C68" s="40">
        <f>C69+C70</f>
        <v>0</v>
      </c>
      <c r="D68" s="40">
        <f t="shared" ref="D68" si="14">D69+D70</f>
        <v>0</v>
      </c>
      <c r="E68" s="40">
        <f t="shared" ref="E68" si="15">E69+E70</f>
        <v>0</v>
      </c>
      <c r="F68" s="10"/>
    </row>
    <row r="69" spans="1:6" x14ac:dyDescent="0.2">
      <c r="A69" s="26" t="s">
        <v>87</v>
      </c>
      <c r="B69" s="34" t="s">
        <v>79</v>
      </c>
      <c r="C69" s="47">
        <v>0</v>
      </c>
      <c r="D69" s="41">
        <f t="shared" ref="D69:D70" si="16">C69*D$15</f>
        <v>0</v>
      </c>
      <c r="E69" s="47">
        <v>0</v>
      </c>
      <c r="F69" s="10"/>
    </row>
    <row r="70" spans="1:6" x14ac:dyDescent="0.2">
      <c r="A70" s="26" t="s">
        <v>88</v>
      </c>
      <c r="B70" s="34" t="s">
        <v>80</v>
      </c>
      <c r="C70" s="47">
        <v>0</v>
      </c>
      <c r="D70" s="41">
        <f t="shared" si="16"/>
        <v>0</v>
      </c>
      <c r="E70" s="47">
        <v>0</v>
      </c>
      <c r="F70" s="10"/>
    </row>
    <row r="71" spans="1:6" x14ac:dyDescent="0.2">
      <c r="A71" s="26">
        <f>A68+0.1</f>
        <v>4.5999999999999979</v>
      </c>
      <c r="B71" s="34" t="s">
        <v>47</v>
      </c>
      <c r="C71" s="40">
        <f>C72+C73</f>
        <v>0</v>
      </c>
      <c r="D71" s="40">
        <f t="shared" ref="D71" si="17">D72+D73</f>
        <v>0</v>
      </c>
      <c r="E71" s="40">
        <f t="shared" ref="E71" si="18">E72+E73</f>
        <v>0</v>
      </c>
      <c r="F71" s="10"/>
    </row>
    <row r="72" spans="1:6" x14ac:dyDescent="0.2">
      <c r="A72" s="26" t="s">
        <v>89</v>
      </c>
      <c r="B72" s="34" t="s">
        <v>79</v>
      </c>
      <c r="C72" s="47">
        <v>0</v>
      </c>
      <c r="D72" s="41">
        <f t="shared" ref="D72:D73" si="19">C72*D$15</f>
        <v>0</v>
      </c>
      <c r="E72" s="47">
        <v>0</v>
      </c>
      <c r="F72" s="10"/>
    </row>
    <row r="73" spans="1:6" x14ac:dyDescent="0.2">
      <c r="A73" s="26" t="s">
        <v>90</v>
      </c>
      <c r="B73" s="34" t="s">
        <v>80</v>
      </c>
      <c r="C73" s="47">
        <v>0</v>
      </c>
      <c r="D73" s="41">
        <f t="shared" si="19"/>
        <v>0</v>
      </c>
      <c r="E73" s="47">
        <v>0</v>
      </c>
      <c r="F73" s="10"/>
    </row>
    <row r="74" spans="1:6" ht="16.5" thickBot="1" x14ac:dyDescent="0.3">
      <c r="A74" s="95" t="s">
        <v>48</v>
      </c>
      <c r="B74" s="96"/>
      <c r="C74" s="45">
        <f>C53+C59+C62+C65+C68+C71</f>
        <v>81068860.193644598</v>
      </c>
      <c r="D74" s="45">
        <f t="shared" ref="D74:E74" si="20">D53+D59+D62+D65+D68+D71</f>
        <v>15403083.436792474</v>
      </c>
      <c r="E74" s="45">
        <f t="shared" si="20"/>
        <v>96471943.630437061</v>
      </c>
      <c r="F74" s="10"/>
    </row>
    <row r="75" spans="1:6" ht="15.75" x14ac:dyDescent="0.2">
      <c r="A75" s="97" t="s">
        <v>49</v>
      </c>
      <c r="B75" s="98"/>
      <c r="C75" s="98"/>
      <c r="D75" s="98"/>
      <c r="E75" s="98"/>
      <c r="F75" s="10"/>
    </row>
    <row r="76" spans="1:6" x14ac:dyDescent="0.2">
      <c r="A76" s="26">
        <v>5.0999999999999996</v>
      </c>
      <c r="B76" s="34" t="s">
        <v>50</v>
      </c>
      <c r="C76" s="44">
        <f>C77+C78</f>
        <v>1686232.2920278076</v>
      </c>
      <c r="D76" s="39">
        <f>C76*D$15</f>
        <v>320384.13548528345</v>
      </c>
      <c r="E76" s="44">
        <f>E77+E78</f>
        <v>2006616.4275130911</v>
      </c>
      <c r="F76" s="10"/>
    </row>
    <row r="77" spans="1:6" x14ac:dyDescent="0.2">
      <c r="A77" s="26"/>
      <c r="B77" s="34" t="s">
        <v>51</v>
      </c>
      <c r="C77" s="47">
        <f>IF(F77&lt;&gt;"",F77,C74*0.013)</f>
        <v>1053895.1825173798</v>
      </c>
      <c r="D77" s="41">
        <f>C77*D$15</f>
        <v>200240.08467830217</v>
      </c>
      <c r="E77" s="41">
        <f>C77+D77</f>
        <v>1254135.267195682</v>
      </c>
      <c r="F77" s="10"/>
    </row>
    <row r="78" spans="1:6" x14ac:dyDescent="0.2">
      <c r="A78" s="26"/>
      <c r="B78" s="34" t="s">
        <v>52</v>
      </c>
      <c r="C78" s="47">
        <f>C77*0.6</f>
        <v>632337.10951042781</v>
      </c>
      <c r="D78" s="41">
        <f>C78*D$15</f>
        <v>120144.05080698128</v>
      </c>
      <c r="E78" s="48">
        <f>C78+D78</f>
        <v>752481.16031740909</v>
      </c>
      <c r="F78" s="10"/>
    </row>
    <row r="79" spans="1:6" x14ac:dyDescent="0.2">
      <c r="A79" s="26">
        <f>A76+0.1</f>
        <v>5.1999999999999993</v>
      </c>
      <c r="B79" s="34" t="s">
        <v>53</v>
      </c>
      <c r="C79" s="49">
        <f>SUM(C80:C84)</f>
        <v>1009513.8645139437</v>
      </c>
      <c r="D79" s="49">
        <f>SUM(D80:D84)</f>
        <v>15983.969521470775</v>
      </c>
      <c r="E79" s="49">
        <f>SUM(E80:E84)</f>
        <v>1025497.8340354145</v>
      </c>
      <c r="F79" s="10"/>
    </row>
    <row r="80" spans="1:6" x14ac:dyDescent="0.2">
      <c r="A80" s="26"/>
      <c r="B80" s="34" t="s">
        <v>54</v>
      </c>
      <c r="C80" s="48">
        <v>0</v>
      </c>
      <c r="D80" s="47">
        <v>0</v>
      </c>
      <c r="E80" s="47">
        <f t="shared" ref="E80:E86" si="21">C80+D80</f>
        <v>0</v>
      </c>
      <c r="F80" s="10"/>
    </row>
    <row r="81" spans="1:8" x14ac:dyDescent="0.2">
      <c r="A81" s="26"/>
      <c r="B81" s="34" t="s">
        <v>106</v>
      </c>
      <c r="C81" s="48">
        <f>C93*0.001</f>
        <v>84126.155376161973</v>
      </c>
      <c r="D81" s="42">
        <v>0</v>
      </c>
      <c r="E81" s="42">
        <f t="shared" si="21"/>
        <v>84126.155376161973</v>
      </c>
      <c r="F81" s="10"/>
    </row>
    <row r="82" spans="1:8" ht="25.5" x14ac:dyDescent="0.2">
      <c r="A82" s="26"/>
      <c r="B82" s="34" t="s">
        <v>69</v>
      </c>
      <c r="C82" s="47">
        <f>C93*0.005</f>
        <v>420630.77688080992</v>
      </c>
      <c r="D82" s="41">
        <v>0</v>
      </c>
      <c r="E82" s="42">
        <f t="shared" si="21"/>
        <v>420630.77688080992</v>
      </c>
      <c r="F82" s="10"/>
    </row>
    <row r="83" spans="1:8" x14ac:dyDescent="0.2">
      <c r="A83" s="26"/>
      <c r="B83" s="34" t="s">
        <v>55</v>
      </c>
      <c r="C83" s="50">
        <f>IF(F83&lt;&gt;"",F83,C93*0.005)</f>
        <v>420630.77688080992</v>
      </c>
      <c r="D83" s="41">
        <v>0</v>
      </c>
      <c r="E83" s="42">
        <f t="shared" si="21"/>
        <v>420630.77688080992</v>
      </c>
      <c r="F83" s="10"/>
    </row>
    <row r="84" spans="1:8" x14ac:dyDescent="0.2">
      <c r="A84" s="26"/>
      <c r="B84" s="34" t="s">
        <v>74</v>
      </c>
      <c r="C84" s="47">
        <f>C93*0.001</f>
        <v>84126.155376161973</v>
      </c>
      <c r="D84" s="41">
        <f>C84*D$15</f>
        <v>15983.969521470775</v>
      </c>
      <c r="E84" s="42">
        <f t="shared" si="21"/>
        <v>100110.12489763275</v>
      </c>
      <c r="F84" s="10"/>
    </row>
    <row r="85" spans="1:8" x14ac:dyDescent="0.2">
      <c r="A85" s="26">
        <f>A79+0.1</f>
        <v>5.2999999999999989</v>
      </c>
      <c r="B85" s="34" t="s">
        <v>72</v>
      </c>
      <c r="C85" s="44">
        <f>(C21+C22+C26+C51+C74)*0.05</f>
        <v>4106831.0135684833</v>
      </c>
      <c r="D85" s="39">
        <f>C85*D$15</f>
        <v>780297.89257801184</v>
      </c>
      <c r="E85" s="49">
        <f t="shared" si="21"/>
        <v>4887128.9061464947</v>
      </c>
      <c r="F85" s="10"/>
    </row>
    <row r="86" spans="1:8" x14ac:dyDescent="0.2">
      <c r="A86" s="26">
        <f>A85+0.1</f>
        <v>5.3999999999999986</v>
      </c>
      <c r="B86" s="34" t="s">
        <v>73</v>
      </c>
      <c r="C86" s="44">
        <f>IF(F86&lt;&gt;"",F86,C93*0.001)</f>
        <v>0</v>
      </c>
      <c r="D86" s="41">
        <f>C86*D$15</f>
        <v>0</v>
      </c>
      <c r="E86" s="49">
        <f t="shared" si="21"/>
        <v>0</v>
      </c>
      <c r="F86" s="10">
        <v>0</v>
      </c>
    </row>
    <row r="87" spans="1:8" ht="16.5" thickBot="1" x14ac:dyDescent="0.25">
      <c r="A87" s="95" t="s">
        <v>56</v>
      </c>
      <c r="B87" s="96"/>
      <c r="C87" s="51">
        <f>C76+C79+C85+C86</f>
        <v>6802577.170110235</v>
      </c>
      <c r="D87" s="51">
        <f>D76+D79+D85+D86</f>
        <v>1116665.997584766</v>
      </c>
      <c r="E87" s="51">
        <f>E76+E79+E85+E86</f>
        <v>7919243.1676950008</v>
      </c>
      <c r="F87" s="10"/>
    </row>
    <row r="88" spans="1:8" ht="15.75" x14ac:dyDescent="0.2">
      <c r="A88" s="97" t="s">
        <v>57</v>
      </c>
      <c r="B88" s="98"/>
      <c r="C88" s="98"/>
      <c r="D88" s="98"/>
      <c r="E88" s="98"/>
      <c r="F88" s="10"/>
    </row>
    <row r="89" spans="1:8" x14ac:dyDescent="0.2">
      <c r="A89" s="26">
        <v>6.1</v>
      </c>
      <c r="B89" s="34" t="s">
        <v>58</v>
      </c>
      <c r="C89" s="44">
        <v>0</v>
      </c>
      <c r="D89" s="39">
        <f>C89*D$15</f>
        <v>0</v>
      </c>
      <c r="E89" s="44">
        <v>0</v>
      </c>
      <c r="F89" s="10"/>
      <c r="H89" s="17"/>
    </row>
    <row r="90" spans="1:8" x14ac:dyDescent="0.2">
      <c r="A90" s="26">
        <v>6.2</v>
      </c>
      <c r="B90" s="34" t="s">
        <v>59</v>
      </c>
      <c r="C90" s="44">
        <v>0</v>
      </c>
      <c r="D90" s="39">
        <f>C90*D$15</f>
        <v>0</v>
      </c>
      <c r="E90" s="49">
        <f>C90+D90</f>
        <v>0</v>
      </c>
      <c r="F90" s="10"/>
    </row>
    <row r="91" spans="1:8" ht="16.5" thickBot="1" x14ac:dyDescent="0.3">
      <c r="A91" s="99" t="s">
        <v>60</v>
      </c>
      <c r="B91" s="100"/>
      <c r="C91" s="52">
        <f>C89+C90</f>
        <v>0</v>
      </c>
      <c r="D91" s="51">
        <f>SUM(D89:D90)</f>
        <v>0</v>
      </c>
      <c r="E91" s="46">
        <f>C91+D91</f>
        <v>0</v>
      </c>
      <c r="F91" s="10"/>
      <c r="H91" s="17"/>
    </row>
    <row r="92" spans="1:8" ht="15.75" x14ac:dyDescent="0.25">
      <c r="A92" s="97" t="s">
        <v>61</v>
      </c>
      <c r="B92" s="98"/>
      <c r="C92" s="53">
        <f>C24+C26+C51+C74+C87+C91</f>
        <v>90916347.441479906</v>
      </c>
      <c r="D92" s="53">
        <f>D24+D26+D51+D74+D87+D91</f>
        <v>17098282.349145006</v>
      </c>
      <c r="E92" s="54">
        <f>C92+D92</f>
        <v>108014629.79062492</v>
      </c>
    </row>
    <row r="93" spans="1:8" ht="16.5" thickBot="1" x14ac:dyDescent="0.3">
      <c r="A93" s="85" t="s">
        <v>62</v>
      </c>
      <c r="B93" s="86"/>
      <c r="C93" s="55">
        <f>C21+C22+C23+C26+C53+C59+C77</f>
        <v>84126155.376161978</v>
      </c>
      <c r="D93" s="55">
        <f>D21+D22+D23+D26+D53+D59+D77</f>
        <v>15983969.521470776</v>
      </c>
      <c r="E93" s="45">
        <f>C93+D93</f>
        <v>100110124.89763275</v>
      </c>
    </row>
    <row r="94" spans="1:8" ht="15.75" x14ac:dyDescent="0.25">
      <c r="A94" s="64"/>
      <c r="B94" s="64"/>
      <c r="C94" s="63"/>
      <c r="D94" s="63"/>
      <c r="E94" s="62"/>
    </row>
    <row r="95" spans="1:8" x14ac:dyDescent="0.2">
      <c r="A95" s="65"/>
      <c r="B95" s="65"/>
      <c r="C95" s="72" t="s">
        <v>91</v>
      </c>
      <c r="D95" s="72"/>
      <c r="E95" s="73">
        <f>E92</f>
        <v>108014629.79062492</v>
      </c>
    </row>
    <row r="96" spans="1:8" x14ac:dyDescent="0.2">
      <c r="A96" s="65"/>
      <c r="B96" s="65"/>
      <c r="C96" s="89" t="s">
        <v>92</v>
      </c>
      <c r="D96" s="89"/>
      <c r="E96" s="73">
        <f>E95-E97</f>
        <v>104086667.11062491</v>
      </c>
    </row>
    <row r="97" spans="1:5" x14ac:dyDescent="0.2">
      <c r="A97" s="65"/>
      <c r="B97" s="65"/>
      <c r="C97" s="89" t="s">
        <v>93</v>
      </c>
      <c r="D97" s="89"/>
      <c r="E97" s="73">
        <v>3927962.68</v>
      </c>
    </row>
    <row r="98" spans="1:5" ht="15.75" x14ac:dyDescent="0.25">
      <c r="A98" s="64"/>
      <c r="B98" s="64"/>
      <c r="C98" s="63"/>
      <c r="D98" s="63"/>
      <c r="E98" s="62"/>
    </row>
    <row r="99" spans="1:5" ht="15.75" x14ac:dyDescent="0.25">
      <c r="A99" s="64"/>
      <c r="B99" s="64"/>
      <c r="C99" s="63"/>
      <c r="D99" s="63"/>
      <c r="E99" s="62"/>
    </row>
    <row r="100" spans="1:5" ht="25.5" x14ac:dyDescent="0.2">
      <c r="A100" s="65"/>
      <c r="B100" s="74" t="s">
        <v>94</v>
      </c>
      <c r="C100" s="75" t="s">
        <v>95</v>
      </c>
      <c r="D100" s="75" t="s">
        <v>96</v>
      </c>
      <c r="E100" s="65"/>
    </row>
    <row r="101" spans="1:5" ht="15.75" customHeight="1" x14ac:dyDescent="0.2">
      <c r="A101" s="65"/>
      <c r="B101" s="76" t="s">
        <v>97</v>
      </c>
      <c r="C101" s="73">
        <f>C54+C60+C63+C66+C69+C72</f>
        <v>60898443.842677526</v>
      </c>
      <c r="D101" s="73">
        <f>C53-C101</f>
        <v>20170416.350967072</v>
      </c>
      <c r="E101" s="65"/>
    </row>
    <row r="102" spans="1:5" x14ac:dyDescent="0.2">
      <c r="A102" s="65"/>
      <c r="B102" s="76" t="s">
        <v>98</v>
      </c>
      <c r="C102" s="93">
        <f>C92</f>
        <v>90916347.441479906</v>
      </c>
      <c r="D102" s="94"/>
      <c r="E102" s="66"/>
    </row>
    <row r="103" spans="1:5" ht="15.75" customHeight="1" x14ac:dyDescent="0.2">
      <c r="A103" s="65"/>
      <c r="B103" s="76" t="s">
        <v>99</v>
      </c>
      <c r="C103" s="82">
        <f>C101/('[1]Indicatori T-E'!C18/1000)</f>
        <v>2504768.8003404569</v>
      </c>
      <c r="D103" s="82">
        <f>D101/('[1]Indicatori T-E'!C18/1000)</f>
        <v>829614.45938251447</v>
      </c>
      <c r="E103" s="66"/>
    </row>
    <row r="104" spans="1:5" x14ac:dyDescent="0.2">
      <c r="A104" s="65"/>
      <c r="B104" s="76" t="s">
        <v>100</v>
      </c>
      <c r="C104" s="82">
        <f>C103/D107</f>
        <v>506689.48503872985</v>
      </c>
      <c r="D104" s="82">
        <f>D103/D107</f>
        <v>167822.64420894822</v>
      </c>
      <c r="E104" s="66"/>
    </row>
    <row r="105" spans="1:5" x14ac:dyDescent="0.2">
      <c r="A105" s="65"/>
      <c r="B105" s="65"/>
      <c r="C105" s="66"/>
      <c r="D105" s="66"/>
      <c r="E105" s="66"/>
    </row>
    <row r="106" spans="1:5" ht="15" x14ac:dyDescent="0.25">
      <c r="A106" s="65"/>
      <c r="B106" s="92" t="s">
        <v>76</v>
      </c>
      <c r="C106" s="92"/>
      <c r="D106" s="79">
        <v>44607</v>
      </c>
      <c r="E106" s="66"/>
    </row>
    <row r="107" spans="1:5" x14ac:dyDescent="0.2">
      <c r="A107" s="65"/>
      <c r="B107" s="92" t="s">
        <v>75</v>
      </c>
      <c r="C107" s="92"/>
      <c r="D107" s="78">
        <v>4.9433999999999996</v>
      </c>
      <c r="E107" s="66"/>
    </row>
    <row r="108" spans="1:5" x14ac:dyDescent="0.2">
      <c r="A108" s="65"/>
      <c r="B108" s="90" t="s">
        <v>101</v>
      </c>
      <c r="C108" s="91"/>
      <c r="D108" s="73">
        <f>'[1]Indicatori T-E'!C18/1000</f>
        <v>24.312999999999999</v>
      </c>
      <c r="E108" s="66"/>
    </row>
    <row r="109" spans="1:5" ht="15.75" x14ac:dyDescent="0.25">
      <c r="A109" s="69"/>
      <c r="B109" s="69"/>
      <c r="C109" s="70"/>
      <c r="D109" s="70"/>
      <c r="E109" s="71"/>
    </row>
    <row r="110" spans="1:5" ht="31.5" x14ac:dyDescent="0.25">
      <c r="A110" s="68"/>
      <c r="B110" s="5" t="s">
        <v>111</v>
      </c>
      <c r="C110" s="67" t="s">
        <v>109</v>
      </c>
      <c r="D110" s="68" t="s">
        <v>63</v>
      </c>
      <c r="E110" s="67"/>
    </row>
    <row r="111" spans="1:5" ht="15.75" x14ac:dyDescent="0.25">
      <c r="A111" s="65"/>
      <c r="B111" s="5" t="s">
        <v>112</v>
      </c>
      <c r="C111" s="68" t="s">
        <v>110</v>
      </c>
      <c r="D111" s="87" t="s">
        <v>0</v>
      </c>
      <c r="E111" s="87"/>
    </row>
    <row r="112" spans="1:5" ht="15.75" x14ac:dyDescent="0.25">
      <c r="A112" s="77"/>
      <c r="B112" s="1" t="s">
        <v>66</v>
      </c>
      <c r="C112" s="84" t="s">
        <v>113</v>
      </c>
      <c r="D112" s="87" t="s">
        <v>64</v>
      </c>
      <c r="E112" s="87"/>
    </row>
    <row r="113" spans="1:5" ht="15.75" x14ac:dyDescent="0.2">
      <c r="A113" s="88"/>
      <c r="B113" s="88"/>
      <c r="C113" s="66"/>
      <c r="D113" s="87" t="s">
        <v>65</v>
      </c>
      <c r="E113" s="87"/>
    </row>
    <row r="114" spans="1:5" x14ac:dyDescent="0.2">
      <c r="C114" s="2"/>
      <c r="D114" s="2"/>
      <c r="E114" s="2"/>
    </row>
    <row r="115" spans="1:5" x14ac:dyDescent="0.2">
      <c r="C115" s="2"/>
      <c r="D115" s="2"/>
      <c r="E115" s="2"/>
    </row>
    <row r="116" spans="1:5" x14ac:dyDescent="0.2">
      <c r="C116" s="2"/>
      <c r="D116" s="2"/>
      <c r="E116" s="2"/>
    </row>
    <row r="117" spans="1:5" x14ac:dyDescent="0.2">
      <c r="C117" s="2"/>
      <c r="D117" s="2"/>
      <c r="E117" s="2"/>
    </row>
    <row r="118" spans="1:5" x14ac:dyDescent="0.2">
      <c r="B118" s="7"/>
      <c r="C118" s="2"/>
      <c r="D118" s="2"/>
      <c r="E118" s="2"/>
    </row>
    <row r="119" spans="1:5" ht="27" x14ac:dyDescent="0.35">
      <c r="A119" s="8"/>
      <c r="B119" s="8"/>
      <c r="C119" s="9"/>
      <c r="D119" s="2"/>
      <c r="E119" s="2"/>
    </row>
  </sheetData>
  <protectedRanges>
    <protectedRange password="EB62" sqref="C20:C23 C26 C89:C90 C53:E54 C72:C73 C71:E71 C69:C70 C68:E68 C66:C67 C65:E65 C63:C64 C62:E62 C60:C61 C59:E59 C56:E56" name="Range1"/>
    <protectedRange password="EB62" sqref="C28:C50" name="Range1_1"/>
    <protectedRange password="EB62" sqref="C76:C86" name="Range1_2"/>
  </protectedRanges>
  <mergeCells count="40">
    <mergeCell ref="A14:A17"/>
    <mergeCell ref="B14:B17"/>
    <mergeCell ref="C14:C16"/>
    <mergeCell ref="E14:E16"/>
    <mergeCell ref="A5:B5"/>
    <mergeCell ref="A6:B6"/>
    <mergeCell ref="A9:E9"/>
    <mergeCell ref="A10:E10"/>
    <mergeCell ref="A1:B1"/>
    <mergeCell ref="A2:B2"/>
    <mergeCell ref="A3:B3"/>
    <mergeCell ref="A4:B4"/>
    <mergeCell ref="A11:E11"/>
    <mergeCell ref="A27:E27"/>
    <mergeCell ref="A29:A31"/>
    <mergeCell ref="A36:A41"/>
    <mergeCell ref="A44:A45"/>
    <mergeCell ref="A19:E19"/>
    <mergeCell ref="A24:B24"/>
    <mergeCell ref="A25:E25"/>
    <mergeCell ref="A26:B26"/>
    <mergeCell ref="A87:B87"/>
    <mergeCell ref="A88:E88"/>
    <mergeCell ref="A91:B91"/>
    <mergeCell ref="A92:B92"/>
    <mergeCell ref="A51:B51"/>
    <mergeCell ref="A52:E52"/>
    <mergeCell ref="A74:B74"/>
    <mergeCell ref="A75:E75"/>
    <mergeCell ref="A93:B93"/>
    <mergeCell ref="D112:E112"/>
    <mergeCell ref="A113:B113"/>
    <mergeCell ref="D113:E113"/>
    <mergeCell ref="D111:E111"/>
    <mergeCell ref="C96:D96"/>
    <mergeCell ref="C97:D97"/>
    <mergeCell ref="B108:C108"/>
    <mergeCell ref="B106:C106"/>
    <mergeCell ref="B107:C107"/>
    <mergeCell ref="C102:D102"/>
  </mergeCells>
  <phoneticPr fontId="13" type="noConversion"/>
  <pageMargins left="0.75" right="0.36" top="0.34" bottom="0.71" header="0.28000000000000003" footer="0.5"/>
  <pageSetup paperSize="9" scale="62" fitToHeight="0" orientation="portrait" r:id="rId1"/>
  <headerFooter alignWithMargins="0"/>
  <rowBreaks count="2" manualBreakCount="2">
    <brk id="115" max="4" man="1"/>
    <brk id="11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Deviz General</vt:lpstr>
      <vt:lpstr>'Deviz General'!Print_Area</vt:lpstr>
    </vt:vector>
  </TitlesOfParts>
  <Company>Cipro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cipro</dc:creator>
  <cp:lastModifiedBy>Alexandru Bota</cp:lastModifiedBy>
  <cp:lastPrinted>2023-12-11T12:23:11Z</cp:lastPrinted>
  <dcterms:created xsi:type="dcterms:W3CDTF">2017-09-23T09:18:37Z</dcterms:created>
  <dcterms:modified xsi:type="dcterms:W3CDTF">2023-12-12T07:15:06Z</dcterms:modified>
</cp:coreProperties>
</file>